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drawings/drawing2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drawings/drawing3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4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drawings/drawing5.xml" ContentType="application/vnd.openxmlformats-officedocument.drawing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drawings/drawing6.xml" ContentType="application/vnd.openxmlformats-officedocument.drawing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drawings/drawing7.xml" ContentType="application/vnd.openxmlformats-officedocument.drawing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drawings/drawing8.xml" ContentType="application/vnd.openxmlformats-officedocument.drawing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drawings/drawing9.xml" ContentType="application/vnd.openxmlformats-officedocument.drawing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drawings/drawing10.xml" ContentType="application/vnd.openxmlformats-officedocument.drawing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drawings/drawing11.xml" ContentType="application/vnd.openxmlformats-officedocument.drawing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drawings/drawing12.xml" ContentType="application/vnd.openxmlformats-officedocument.drawing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3820"/>
  <mc:AlternateContent xmlns:mc="http://schemas.openxmlformats.org/markup-compatibility/2006">
    <mc:Choice Requires="x15">
      <x15ac:absPath xmlns:x15ac="http://schemas.microsoft.com/office/spreadsheetml/2010/11/ac" url="C:\Users\fcjones\Desktop\"/>
    </mc:Choice>
  </mc:AlternateContent>
  <bookViews>
    <workbookView xWindow="-30" yWindow="-45" windowWidth="13230" windowHeight="8280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52511"/>
  <webPublishing codePage="1252"/>
</workbook>
</file>

<file path=xl/calcChain.xml><?xml version="1.0" encoding="utf-8"?>
<calcChain xmlns="http://schemas.openxmlformats.org/spreadsheetml/2006/main">
  <c r="E9" i="12" l="1"/>
  <c r="E6" i="12"/>
  <c r="E9" i="10"/>
  <c r="E6" i="10"/>
  <c r="E9" i="9"/>
  <c r="E6" i="9"/>
  <c r="E9" i="8"/>
  <c r="E6" i="8"/>
  <c r="E9" i="7"/>
  <c r="E6" i="7"/>
  <c r="E9" i="6"/>
  <c r="E6" i="6"/>
  <c r="E9" i="5"/>
  <c r="E6" i="5"/>
  <c r="E9" i="4"/>
  <c r="E6" i="4"/>
  <c r="E9" i="3"/>
  <c r="E6" i="3"/>
  <c r="E9" i="2"/>
  <c r="E6" i="2"/>
  <c r="E9" i="1" l="1"/>
  <c r="E6" i="1"/>
  <c r="E9" i="11" l="1"/>
  <c r="E6" i="11"/>
  <c r="J12" i="12" l="1"/>
  <c r="J33" i="12"/>
  <c r="J34" i="12"/>
  <c r="J35" i="12"/>
  <c r="J36" i="12"/>
  <c r="J37" i="12" s="1"/>
  <c r="H37" i="12"/>
  <c r="I37" i="12"/>
  <c r="J40" i="12"/>
  <c r="J43" i="12" s="1"/>
  <c r="J41" i="12"/>
  <c r="J42" i="12"/>
  <c r="H43" i="12"/>
  <c r="I43" i="12"/>
  <c r="J46" i="12"/>
  <c r="J47" i="12"/>
  <c r="J48" i="12"/>
  <c r="H49" i="12"/>
  <c r="I49" i="12"/>
  <c r="D63" i="12"/>
  <c r="C63" i="12"/>
  <c r="E62" i="12"/>
  <c r="E61" i="12"/>
  <c r="E60" i="12"/>
  <c r="E59" i="12"/>
  <c r="E58" i="12"/>
  <c r="E57" i="12"/>
  <c r="E56" i="12"/>
  <c r="D53" i="12"/>
  <c r="C53" i="12"/>
  <c r="E52" i="12"/>
  <c r="E51" i="12"/>
  <c r="E50" i="12"/>
  <c r="E49" i="12"/>
  <c r="E48" i="12"/>
  <c r="D45" i="12"/>
  <c r="C45" i="12"/>
  <c r="E44" i="12"/>
  <c r="E43" i="12"/>
  <c r="E42" i="12"/>
  <c r="D39" i="12"/>
  <c r="C39" i="12"/>
  <c r="E38" i="12"/>
  <c r="E37" i="12"/>
  <c r="E36" i="12"/>
  <c r="E35" i="12"/>
  <c r="D32" i="12"/>
  <c r="C32" i="12"/>
  <c r="E31" i="12"/>
  <c r="I30" i="12"/>
  <c r="H30" i="12"/>
  <c r="E30" i="12"/>
  <c r="J29" i="12"/>
  <c r="E29" i="12"/>
  <c r="J28" i="12"/>
  <c r="E28" i="12"/>
  <c r="J27" i="12"/>
  <c r="E27" i="12"/>
  <c r="J26" i="12"/>
  <c r="E26" i="12"/>
  <c r="J25" i="12"/>
  <c r="E25" i="12"/>
  <c r="J24" i="12"/>
  <c r="J30" i="12" s="1"/>
  <c r="D22" i="12"/>
  <c r="C22" i="12"/>
  <c r="I21" i="12"/>
  <c r="H21" i="12"/>
  <c r="E21" i="12"/>
  <c r="J20" i="12"/>
  <c r="E20" i="12"/>
  <c r="J19" i="12"/>
  <c r="E19" i="12"/>
  <c r="J18" i="12"/>
  <c r="E18" i="12"/>
  <c r="J17" i="12"/>
  <c r="E17" i="12"/>
  <c r="J16" i="12"/>
  <c r="E16" i="12"/>
  <c r="J15" i="12"/>
  <c r="E15" i="12"/>
  <c r="J14" i="12"/>
  <c r="E14" i="12"/>
  <c r="J13" i="12"/>
  <c r="E13" i="12"/>
  <c r="E12" i="12"/>
  <c r="D63" i="11"/>
  <c r="C63" i="11"/>
  <c r="E62" i="11"/>
  <c r="E61" i="11"/>
  <c r="E60" i="11"/>
  <c r="E59" i="11"/>
  <c r="E58" i="11"/>
  <c r="E57" i="11"/>
  <c r="E56" i="11"/>
  <c r="E63" i="11" s="1"/>
  <c r="J53" i="11"/>
  <c r="J6" i="11" s="1"/>
  <c r="D53" i="11"/>
  <c r="C53" i="11"/>
  <c r="E52" i="11"/>
  <c r="E51" i="11"/>
  <c r="E50" i="11"/>
  <c r="I49" i="11"/>
  <c r="H49" i="11"/>
  <c r="E49" i="11"/>
  <c r="J48" i="11"/>
  <c r="J49" i="11" s="1"/>
  <c r="E48" i="11"/>
  <c r="J47" i="11"/>
  <c r="J46" i="11"/>
  <c r="D45" i="11"/>
  <c r="C45" i="11"/>
  <c r="E44" i="11"/>
  <c r="I43" i="11"/>
  <c r="H43" i="11"/>
  <c r="E43" i="11"/>
  <c r="J42" i="11"/>
  <c r="J43" i="11" s="1"/>
  <c r="E42" i="11"/>
  <c r="J41" i="11"/>
  <c r="J40" i="11"/>
  <c r="E39" i="11"/>
  <c r="D39" i="11"/>
  <c r="C39" i="11"/>
  <c r="E38" i="11"/>
  <c r="I37" i="11"/>
  <c r="H37" i="11"/>
  <c r="E37" i="11"/>
  <c r="J36" i="11"/>
  <c r="E36" i="11"/>
  <c r="J35" i="11"/>
  <c r="E35" i="11"/>
  <c r="J34" i="11"/>
  <c r="J37" i="11" s="1"/>
  <c r="J33" i="11"/>
  <c r="D32" i="11"/>
  <c r="C32" i="11"/>
  <c r="E31" i="11"/>
  <c r="I30" i="11"/>
  <c r="H30" i="11"/>
  <c r="E30" i="11"/>
  <c r="J29" i="11"/>
  <c r="E29" i="11"/>
  <c r="J28" i="11"/>
  <c r="E28" i="11"/>
  <c r="J27" i="11"/>
  <c r="E27" i="11"/>
  <c r="J26" i="11"/>
  <c r="E26" i="11"/>
  <c r="J25" i="11"/>
  <c r="E25" i="11"/>
  <c r="E32" i="11" s="1"/>
  <c r="J24" i="11"/>
  <c r="J30" i="11" s="1"/>
  <c r="D22" i="11"/>
  <c r="C22" i="11"/>
  <c r="I21" i="11"/>
  <c r="H21" i="11"/>
  <c r="E21" i="11"/>
  <c r="J20" i="11"/>
  <c r="E20" i="11"/>
  <c r="J19" i="11"/>
  <c r="E19" i="11"/>
  <c r="J18" i="11"/>
  <c r="E18" i="11"/>
  <c r="J17" i="11"/>
  <c r="E17" i="11"/>
  <c r="J16" i="11"/>
  <c r="E16" i="11"/>
  <c r="J15" i="11"/>
  <c r="E15" i="11"/>
  <c r="J14" i="11"/>
  <c r="E14" i="11"/>
  <c r="J13" i="11"/>
  <c r="E13" i="11"/>
  <c r="J12" i="11"/>
  <c r="E12" i="11"/>
  <c r="D63" i="10"/>
  <c r="C63" i="10"/>
  <c r="E62" i="10"/>
  <c r="E61" i="10"/>
  <c r="E60" i="10"/>
  <c r="E59" i="10"/>
  <c r="E58" i="10"/>
  <c r="E57" i="10"/>
  <c r="E56" i="10"/>
  <c r="E63" i="10" s="1"/>
  <c r="J53" i="10"/>
  <c r="J6" i="10" s="1"/>
  <c r="J8" i="10" s="1"/>
  <c r="D53" i="10"/>
  <c r="C53" i="10"/>
  <c r="E52" i="10"/>
  <c r="E51" i="10"/>
  <c r="E50" i="10"/>
  <c r="I49" i="10"/>
  <c r="H49" i="10"/>
  <c r="E49" i="10"/>
  <c r="J48" i="10"/>
  <c r="J49" i="10" s="1"/>
  <c r="E48" i="10"/>
  <c r="E53" i="10" s="1"/>
  <c r="J47" i="10"/>
  <c r="J46" i="10"/>
  <c r="E45" i="10"/>
  <c r="D45" i="10"/>
  <c r="C45" i="10"/>
  <c r="E44" i="10"/>
  <c r="I43" i="10"/>
  <c r="H43" i="10"/>
  <c r="E43" i="10"/>
  <c r="J42" i="10"/>
  <c r="J43" i="10" s="1"/>
  <c r="E42" i="10"/>
  <c r="J41" i="10"/>
  <c r="J40" i="10"/>
  <c r="E39" i="10"/>
  <c r="D39" i="10"/>
  <c r="C39" i="10"/>
  <c r="E38" i="10"/>
  <c r="I37" i="10"/>
  <c r="H37" i="10"/>
  <c r="E37" i="10"/>
  <c r="J36" i="10"/>
  <c r="E36" i="10"/>
  <c r="J35" i="10"/>
  <c r="E35" i="10"/>
  <c r="J34" i="10"/>
  <c r="J37" i="10" s="1"/>
  <c r="J33" i="10"/>
  <c r="D32" i="10"/>
  <c r="C32" i="10"/>
  <c r="E31" i="10"/>
  <c r="I30" i="10"/>
  <c r="H30" i="10"/>
  <c r="E30" i="10"/>
  <c r="J29" i="10"/>
  <c r="E29" i="10"/>
  <c r="J28" i="10"/>
  <c r="E28" i="10"/>
  <c r="J27" i="10"/>
  <c r="E27" i="10"/>
  <c r="J26" i="10"/>
  <c r="E26" i="10"/>
  <c r="J25" i="10"/>
  <c r="E25" i="10"/>
  <c r="E32" i="10" s="1"/>
  <c r="J24" i="10"/>
  <c r="J30" i="10" s="1"/>
  <c r="D22" i="10"/>
  <c r="C22" i="10"/>
  <c r="J51" i="10" s="1"/>
  <c r="J4" i="10" s="1"/>
  <c r="I21" i="10"/>
  <c r="H21" i="10"/>
  <c r="E21" i="10"/>
  <c r="J20" i="10"/>
  <c r="E20" i="10"/>
  <c r="J19" i="10"/>
  <c r="E19" i="10"/>
  <c r="J18" i="10"/>
  <c r="E18" i="10"/>
  <c r="J17" i="10"/>
  <c r="E17" i="10"/>
  <c r="J16" i="10"/>
  <c r="E16" i="10"/>
  <c r="J15" i="10"/>
  <c r="E15" i="10"/>
  <c r="J14" i="10"/>
  <c r="E14" i="10"/>
  <c r="J13" i="10"/>
  <c r="E13" i="10"/>
  <c r="J12" i="10"/>
  <c r="J21" i="10" s="1"/>
  <c r="E12" i="10"/>
  <c r="E22" i="10" s="1"/>
  <c r="D63" i="9"/>
  <c r="C63" i="9"/>
  <c r="E62" i="9"/>
  <c r="E61" i="9"/>
  <c r="E60" i="9"/>
  <c r="E59" i="9"/>
  <c r="E58" i="9"/>
  <c r="E57" i="9"/>
  <c r="E56" i="9"/>
  <c r="E63" i="9" s="1"/>
  <c r="D53" i="9"/>
  <c r="C53" i="9"/>
  <c r="E52" i="9"/>
  <c r="E51" i="9"/>
  <c r="E50" i="9"/>
  <c r="I49" i="9"/>
  <c r="H49" i="9"/>
  <c r="E49" i="9"/>
  <c r="J48" i="9"/>
  <c r="E48" i="9"/>
  <c r="E53" i="9" s="1"/>
  <c r="J47" i="9"/>
  <c r="J49" i="9" s="1"/>
  <c r="J46" i="9"/>
  <c r="D45" i="9"/>
  <c r="C45" i="9"/>
  <c r="E44" i="9"/>
  <c r="I43" i="9"/>
  <c r="H43" i="9"/>
  <c r="E43" i="9"/>
  <c r="J42" i="9"/>
  <c r="E42" i="9"/>
  <c r="E45" i="9" s="1"/>
  <c r="J41" i="9"/>
  <c r="J43" i="9" s="1"/>
  <c r="J40" i="9"/>
  <c r="D39" i="9"/>
  <c r="C39" i="9"/>
  <c r="J51" i="9" s="1"/>
  <c r="J4" i="9" s="1"/>
  <c r="E38" i="9"/>
  <c r="I37" i="9"/>
  <c r="H37" i="9"/>
  <c r="E37" i="9"/>
  <c r="J36" i="9"/>
  <c r="E36" i="9"/>
  <c r="E39" i="9" s="1"/>
  <c r="J35" i="9"/>
  <c r="E35" i="9"/>
  <c r="J34" i="9"/>
  <c r="J33" i="9"/>
  <c r="J37" i="9" s="1"/>
  <c r="E32" i="9"/>
  <c r="D32" i="9"/>
  <c r="C32" i="9"/>
  <c r="E31" i="9"/>
  <c r="I30" i="9"/>
  <c r="H30" i="9"/>
  <c r="E30" i="9"/>
  <c r="J29" i="9"/>
  <c r="E29" i="9"/>
  <c r="J28" i="9"/>
  <c r="E28" i="9"/>
  <c r="J27" i="9"/>
  <c r="E27" i="9"/>
  <c r="J26" i="9"/>
  <c r="E26" i="9"/>
  <c r="J25" i="9"/>
  <c r="J30" i="9" s="1"/>
  <c r="E25" i="9"/>
  <c r="J24" i="9"/>
  <c r="D22" i="9"/>
  <c r="J53" i="9" s="1"/>
  <c r="J6" i="9" s="1"/>
  <c r="C22" i="9"/>
  <c r="I21" i="9"/>
  <c r="H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J14" i="9"/>
  <c r="E14" i="9"/>
  <c r="J13" i="9"/>
  <c r="E13" i="9"/>
  <c r="J12" i="9"/>
  <c r="J21" i="9" s="1"/>
  <c r="E12" i="9"/>
  <c r="E22" i="9" s="1"/>
  <c r="D63" i="8"/>
  <c r="C63" i="8"/>
  <c r="E62" i="8"/>
  <c r="E61" i="8"/>
  <c r="E60" i="8"/>
  <c r="E59" i="8"/>
  <c r="E58" i="8"/>
  <c r="E57" i="8"/>
  <c r="E56" i="8"/>
  <c r="E63" i="8" s="1"/>
  <c r="D53" i="8"/>
  <c r="C53" i="8"/>
  <c r="E52" i="8"/>
  <c r="E51" i="8"/>
  <c r="E50" i="8"/>
  <c r="I49" i="8"/>
  <c r="H49" i="8"/>
  <c r="E49" i="8"/>
  <c r="J48" i="8"/>
  <c r="E48" i="8"/>
  <c r="E53" i="8" s="1"/>
  <c r="J47" i="8"/>
  <c r="J49" i="8" s="1"/>
  <c r="J46" i="8"/>
  <c r="D45" i="8"/>
  <c r="C45" i="8"/>
  <c r="E44" i="8"/>
  <c r="I43" i="8"/>
  <c r="H43" i="8"/>
  <c r="E43" i="8"/>
  <c r="J42" i="8"/>
  <c r="E42" i="8"/>
  <c r="E45" i="8" s="1"/>
  <c r="J41" i="8"/>
  <c r="J43" i="8" s="1"/>
  <c r="J40" i="8"/>
  <c r="D39" i="8"/>
  <c r="C39" i="8"/>
  <c r="J51" i="8" s="1"/>
  <c r="J4" i="8" s="1"/>
  <c r="E38" i="8"/>
  <c r="I37" i="8"/>
  <c r="H37" i="8"/>
  <c r="E37" i="8"/>
  <c r="J36" i="8"/>
  <c r="E36" i="8"/>
  <c r="E39" i="8" s="1"/>
  <c r="J35" i="8"/>
  <c r="E35" i="8"/>
  <c r="J34" i="8"/>
  <c r="J33" i="8"/>
  <c r="J37" i="8" s="1"/>
  <c r="E32" i="8"/>
  <c r="D32" i="8"/>
  <c r="C32" i="8"/>
  <c r="E31" i="8"/>
  <c r="I30" i="8"/>
  <c r="H30" i="8"/>
  <c r="E30" i="8"/>
  <c r="J29" i="8"/>
  <c r="E29" i="8"/>
  <c r="J28" i="8"/>
  <c r="E28" i="8"/>
  <c r="J27" i="8"/>
  <c r="E27" i="8"/>
  <c r="J26" i="8"/>
  <c r="E26" i="8"/>
  <c r="J25" i="8"/>
  <c r="J30" i="8" s="1"/>
  <c r="E25" i="8"/>
  <c r="J24" i="8"/>
  <c r="D22" i="8"/>
  <c r="J53" i="8" s="1"/>
  <c r="J6" i="8" s="1"/>
  <c r="J8" i="8" s="1"/>
  <c r="C22" i="8"/>
  <c r="I21" i="8"/>
  <c r="H21" i="8"/>
  <c r="E21" i="8"/>
  <c r="J20" i="8"/>
  <c r="E20" i="8"/>
  <c r="J19" i="8"/>
  <c r="E19" i="8"/>
  <c r="J18" i="8"/>
  <c r="E18" i="8"/>
  <c r="J17" i="8"/>
  <c r="E17" i="8"/>
  <c r="J16" i="8"/>
  <c r="E16" i="8"/>
  <c r="J15" i="8"/>
  <c r="E15" i="8"/>
  <c r="J14" i="8"/>
  <c r="E14" i="8"/>
  <c r="J13" i="8"/>
  <c r="E13" i="8"/>
  <c r="J12" i="8"/>
  <c r="J21" i="8" s="1"/>
  <c r="E12" i="8"/>
  <c r="E22" i="8" s="1"/>
  <c r="D63" i="7"/>
  <c r="C63" i="7"/>
  <c r="E62" i="7"/>
  <c r="E61" i="7"/>
  <c r="E60" i="7"/>
  <c r="E59" i="7"/>
  <c r="E58" i="7"/>
  <c r="E57" i="7"/>
  <c r="E56" i="7"/>
  <c r="E63" i="7" s="1"/>
  <c r="D53" i="7"/>
  <c r="C53" i="7"/>
  <c r="E52" i="7"/>
  <c r="E51" i="7"/>
  <c r="E50" i="7"/>
  <c r="I49" i="7"/>
  <c r="H49" i="7"/>
  <c r="E49" i="7"/>
  <c r="J48" i="7"/>
  <c r="E48" i="7"/>
  <c r="E53" i="7" s="1"/>
  <c r="J47" i="7"/>
  <c r="J46" i="7"/>
  <c r="J49" i="7" s="1"/>
  <c r="D45" i="7"/>
  <c r="C45" i="7"/>
  <c r="E44" i="7"/>
  <c r="I43" i="7"/>
  <c r="H43" i="7"/>
  <c r="E43" i="7"/>
  <c r="J42" i="7"/>
  <c r="E42" i="7"/>
  <c r="E45" i="7" s="1"/>
  <c r="J41" i="7"/>
  <c r="J40" i="7"/>
  <c r="J43" i="7" s="1"/>
  <c r="D39" i="7"/>
  <c r="C39" i="7"/>
  <c r="E38" i="7"/>
  <c r="I37" i="7"/>
  <c r="H37" i="7"/>
  <c r="E37" i="7"/>
  <c r="J36" i="7"/>
  <c r="E36" i="7"/>
  <c r="J35" i="7"/>
  <c r="E35" i="7"/>
  <c r="E39" i="7" s="1"/>
  <c r="J34" i="7"/>
  <c r="J33" i="7"/>
  <c r="J37" i="7" s="1"/>
  <c r="D32" i="7"/>
  <c r="C32" i="7"/>
  <c r="E31" i="7"/>
  <c r="I30" i="7"/>
  <c r="H30" i="7"/>
  <c r="E30" i="7"/>
  <c r="J29" i="7"/>
  <c r="E29" i="7"/>
  <c r="J28" i="7"/>
  <c r="E28" i="7"/>
  <c r="J27" i="7"/>
  <c r="E27" i="7"/>
  <c r="J26" i="7"/>
  <c r="E26" i="7"/>
  <c r="J25" i="7"/>
  <c r="J30" i="7" s="1"/>
  <c r="E25" i="7"/>
  <c r="E32" i="7" s="1"/>
  <c r="J24" i="7"/>
  <c r="D22" i="7"/>
  <c r="J53" i="7" s="1"/>
  <c r="J6" i="7" s="1"/>
  <c r="C22" i="7"/>
  <c r="J51" i="7" s="1"/>
  <c r="J4" i="7" s="1"/>
  <c r="I21" i="7"/>
  <c r="H21" i="7"/>
  <c r="E21" i="7"/>
  <c r="J20" i="7"/>
  <c r="E20" i="7"/>
  <c r="J19" i="7"/>
  <c r="E19" i="7"/>
  <c r="J18" i="7"/>
  <c r="E18" i="7"/>
  <c r="J17" i="7"/>
  <c r="E17" i="7"/>
  <c r="J16" i="7"/>
  <c r="E16" i="7"/>
  <c r="J15" i="7"/>
  <c r="E15" i="7"/>
  <c r="J14" i="7"/>
  <c r="E14" i="7"/>
  <c r="J13" i="7"/>
  <c r="E13" i="7"/>
  <c r="J12" i="7"/>
  <c r="J21" i="7" s="1"/>
  <c r="E12" i="7"/>
  <c r="E22" i="7" s="1"/>
  <c r="J55" i="7" s="1"/>
  <c r="D63" i="6"/>
  <c r="C63" i="6"/>
  <c r="E62" i="6"/>
  <c r="E61" i="6"/>
  <c r="E60" i="6"/>
  <c r="E59" i="6"/>
  <c r="E58" i="6"/>
  <c r="E57" i="6"/>
  <c r="E56" i="6"/>
  <c r="E63" i="6" s="1"/>
  <c r="J53" i="6"/>
  <c r="J6" i="6" s="1"/>
  <c r="D53" i="6"/>
  <c r="C53" i="6"/>
  <c r="E52" i="6"/>
  <c r="E51" i="6"/>
  <c r="E50" i="6"/>
  <c r="J49" i="6"/>
  <c r="I49" i="6"/>
  <c r="H49" i="6"/>
  <c r="E49" i="6"/>
  <c r="J48" i="6"/>
  <c r="E48" i="6"/>
  <c r="E53" i="6" s="1"/>
  <c r="J47" i="6"/>
  <c r="J46" i="6"/>
  <c r="E45" i="6"/>
  <c r="D45" i="6"/>
  <c r="C45" i="6"/>
  <c r="E44" i="6"/>
  <c r="I43" i="6"/>
  <c r="H43" i="6"/>
  <c r="E43" i="6"/>
  <c r="J42" i="6"/>
  <c r="J43" i="6" s="1"/>
  <c r="E42" i="6"/>
  <c r="J41" i="6"/>
  <c r="J40" i="6"/>
  <c r="E39" i="6"/>
  <c r="D39" i="6"/>
  <c r="C39" i="6"/>
  <c r="E38" i="6"/>
  <c r="I37" i="6"/>
  <c r="H37" i="6"/>
  <c r="E37" i="6"/>
  <c r="J36" i="6"/>
  <c r="E36" i="6"/>
  <c r="J35" i="6"/>
  <c r="E35" i="6"/>
  <c r="J34" i="6"/>
  <c r="J37" i="6" s="1"/>
  <c r="J33" i="6"/>
  <c r="D32" i="6"/>
  <c r="C32" i="6"/>
  <c r="E31" i="6"/>
  <c r="I30" i="6"/>
  <c r="H30" i="6"/>
  <c r="E30" i="6"/>
  <c r="J29" i="6"/>
  <c r="E29" i="6"/>
  <c r="J28" i="6"/>
  <c r="E28" i="6"/>
  <c r="J27" i="6"/>
  <c r="E27" i="6"/>
  <c r="J26" i="6"/>
  <c r="E26" i="6"/>
  <c r="J25" i="6"/>
  <c r="E25" i="6"/>
  <c r="E32" i="6" s="1"/>
  <c r="J24" i="6"/>
  <c r="J30" i="6" s="1"/>
  <c r="D22" i="6"/>
  <c r="C22" i="6"/>
  <c r="J51" i="6" s="1"/>
  <c r="J4" i="6" s="1"/>
  <c r="I21" i="6"/>
  <c r="H21" i="6"/>
  <c r="E21" i="6"/>
  <c r="J20" i="6"/>
  <c r="E20" i="6"/>
  <c r="J19" i="6"/>
  <c r="E19" i="6"/>
  <c r="J18" i="6"/>
  <c r="E18" i="6"/>
  <c r="J17" i="6"/>
  <c r="E17" i="6"/>
  <c r="J16" i="6"/>
  <c r="E16" i="6"/>
  <c r="J15" i="6"/>
  <c r="E15" i="6"/>
  <c r="J14" i="6"/>
  <c r="E14" i="6"/>
  <c r="J13" i="6"/>
  <c r="E13" i="6"/>
  <c r="J12" i="6"/>
  <c r="J21" i="6" s="1"/>
  <c r="E12" i="6"/>
  <c r="E22" i="6" s="1"/>
  <c r="D63" i="5"/>
  <c r="C63" i="5"/>
  <c r="E62" i="5"/>
  <c r="E61" i="5"/>
  <c r="E60" i="5"/>
  <c r="E59" i="5"/>
  <c r="E58" i="5"/>
  <c r="E57" i="5"/>
  <c r="E56" i="5"/>
  <c r="E63" i="5" s="1"/>
  <c r="J53" i="5"/>
  <c r="J6" i="5" s="1"/>
  <c r="J8" i="5" s="1"/>
  <c r="D53" i="5"/>
  <c r="C53" i="5"/>
  <c r="E52" i="5"/>
  <c r="E51" i="5"/>
  <c r="E50" i="5"/>
  <c r="I49" i="5"/>
  <c r="H49" i="5"/>
  <c r="E49" i="5"/>
  <c r="J48" i="5"/>
  <c r="J49" i="5" s="1"/>
  <c r="E48" i="5"/>
  <c r="E53" i="5" s="1"/>
  <c r="J47" i="5"/>
  <c r="J46" i="5"/>
  <c r="E45" i="5"/>
  <c r="D45" i="5"/>
  <c r="C45" i="5"/>
  <c r="E44" i="5"/>
  <c r="I43" i="5"/>
  <c r="H43" i="5"/>
  <c r="E43" i="5"/>
  <c r="J42" i="5"/>
  <c r="J43" i="5" s="1"/>
  <c r="E42" i="5"/>
  <c r="J41" i="5"/>
  <c r="J40" i="5"/>
  <c r="E39" i="5"/>
  <c r="D39" i="5"/>
  <c r="C39" i="5"/>
  <c r="E38" i="5"/>
  <c r="I37" i="5"/>
  <c r="H37" i="5"/>
  <c r="E37" i="5"/>
  <c r="J36" i="5"/>
  <c r="E36" i="5"/>
  <c r="J35" i="5"/>
  <c r="E35" i="5"/>
  <c r="J34" i="5"/>
  <c r="J37" i="5" s="1"/>
  <c r="J33" i="5"/>
  <c r="D32" i="5"/>
  <c r="C32" i="5"/>
  <c r="E31" i="5"/>
  <c r="I30" i="5"/>
  <c r="H30" i="5"/>
  <c r="E30" i="5"/>
  <c r="J29" i="5"/>
  <c r="E29" i="5"/>
  <c r="J28" i="5"/>
  <c r="E28" i="5"/>
  <c r="J27" i="5"/>
  <c r="E27" i="5"/>
  <c r="J26" i="5"/>
  <c r="E26" i="5"/>
  <c r="J25" i="5"/>
  <c r="E25" i="5"/>
  <c r="E32" i="5" s="1"/>
  <c r="J24" i="5"/>
  <c r="J30" i="5" s="1"/>
  <c r="D22" i="5"/>
  <c r="C22" i="5"/>
  <c r="J51" i="5" s="1"/>
  <c r="J4" i="5" s="1"/>
  <c r="I21" i="5"/>
  <c r="H21" i="5"/>
  <c r="E21" i="5"/>
  <c r="J20" i="5"/>
  <c r="E20" i="5"/>
  <c r="J19" i="5"/>
  <c r="E19" i="5"/>
  <c r="J18" i="5"/>
  <c r="E18" i="5"/>
  <c r="J17" i="5"/>
  <c r="E17" i="5"/>
  <c r="J16" i="5"/>
  <c r="E16" i="5"/>
  <c r="J15" i="5"/>
  <c r="E15" i="5"/>
  <c r="J14" i="5"/>
  <c r="E14" i="5"/>
  <c r="J13" i="5"/>
  <c r="E13" i="5"/>
  <c r="J12" i="5"/>
  <c r="J21" i="5" s="1"/>
  <c r="E12" i="5"/>
  <c r="E22" i="5" s="1"/>
  <c r="D63" i="4"/>
  <c r="C63" i="4"/>
  <c r="E62" i="4"/>
  <c r="E61" i="4"/>
  <c r="E60" i="4"/>
  <c r="E59" i="4"/>
  <c r="E58" i="4"/>
  <c r="E57" i="4"/>
  <c r="E56" i="4"/>
  <c r="E63" i="4" s="1"/>
  <c r="J53" i="4"/>
  <c r="J6" i="4" s="1"/>
  <c r="D53" i="4"/>
  <c r="C53" i="4"/>
  <c r="E52" i="4"/>
  <c r="E51" i="4"/>
  <c r="E50" i="4"/>
  <c r="J49" i="4"/>
  <c r="I49" i="4"/>
  <c r="H49" i="4"/>
  <c r="E49" i="4"/>
  <c r="J48" i="4"/>
  <c r="E48" i="4"/>
  <c r="E53" i="4" s="1"/>
  <c r="J47" i="4"/>
  <c r="J46" i="4"/>
  <c r="E45" i="4"/>
  <c r="D45" i="4"/>
  <c r="C45" i="4"/>
  <c r="E44" i="4"/>
  <c r="I43" i="4"/>
  <c r="H43" i="4"/>
  <c r="E43" i="4"/>
  <c r="J42" i="4"/>
  <c r="J43" i="4" s="1"/>
  <c r="E42" i="4"/>
  <c r="J41" i="4"/>
  <c r="J40" i="4"/>
  <c r="E39" i="4"/>
  <c r="D39" i="4"/>
  <c r="C39" i="4"/>
  <c r="E38" i="4"/>
  <c r="I37" i="4"/>
  <c r="H37" i="4"/>
  <c r="E37" i="4"/>
  <c r="J36" i="4"/>
  <c r="E36" i="4"/>
  <c r="J35" i="4"/>
  <c r="E35" i="4"/>
  <c r="J34" i="4"/>
  <c r="J37" i="4" s="1"/>
  <c r="J33" i="4"/>
  <c r="D32" i="4"/>
  <c r="C32" i="4"/>
  <c r="E31" i="4"/>
  <c r="I30" i="4"/>
  <c r="H30" i="4"/>
  <c r="E30" i="4"/>
  <c r="J29" i="4"/>
  <c r="E29" i="4"/>
  <c r="J28" i="4"/>
  <c r="E28" i="4"/>
  <c r="J27" i="4"/>
  <c r="E27" i="4"/>
  <c r="J26" i="4"/>
  <c r="E26" i="4"/>
  <c r="J25" i="4"/>
  <c r="E25" i="4"/>
  <c r="E32" i="4" s="1"/>
  <c r="J24" i="4"/>
  <c r="J30" i="4" s="1"/>
  <c r="D22" i="4"/>
  <c r="C22" i="4"/>
  <c r="J51" i="4" s="1"/>
  <c r="J4" i="4" s="1"/>
  <c r="I21" i="4"/>
  <c r="H21" i="4"/>
  <c r="E21" i="4"/>
  <c r="J20" i="4"/>
  <c r="E20" i="4"/>
  <c r="J19" i="4"/>
  <c r="E19" i="4"/>
  <c r="J18" i="4"/>
  <c r="E18" i="4"/>
  <c r="J17" i="4"/>
  <c r="E17" i="4"/>
  <c r="J16" i="4"/>
  <c r="E16" i="4"/>
  <c r="J15" i="4"/>
  <c r="E15" i="4"/>
  <c r="J14" i="4"/>
  <c r="E14" i="4"/>
  <c r="J13" i="4"/>
  <c r="E13" i="4"/>
  <c r="J12" i="4"/>
  <c r="J21" i="4" s="1"/>
  <c r="E12" i="4"/>
  <c r="E22" i="4" s="1"/>
  <c r="D63" i="3"/>
  <c r="C63" i="3"/>
  <c r="E62" i="3"/>
  <c r="E61" i="3"/>
  <c r="E60" i="3"/>
  <c r="E59" i="3"/>
  <c r="E58" i="3"/>
  <c r="E57" i="3"/>
  <c r="E63" i="3" s="1"/>
  <c r="E56" i="3"/>
  <c r="D53" i="3"/>
  <c r="C53" i="3"/>
  <c r="E52" i="3"/>
  <c r="J51" i="3"/>
  <c r="J4" i="3" s="1"/>
  <c r="E51" i="3"/>
  <c r="E50" i="3"/>
  <c r="I49" i="3"/>
  <c r="H49" i="3"/>
  <c r="E49" i="3"/>
  <c r="J48" i="3"/>
  <c r="J49" i="3" s="1"/>
  <c r="E48" i="3"/>
  <c r="E53" i="3" s="1"/>
  <c r="J47" i="3"/>
  <c r="J46" i="3"/>
  <c r="D45" i="3"/>
  <c r="C45" i="3"/>
  <c r="E44" i="3"/>
  <c r="I43" i="3"/>
  <c r="H43" i="3"/>
  <c r="E43" i="3"/>
  <c r="J42" i="3"/>
  <c r="J43" i="3" s="1"/>
  <c r="E42" i="3"/>
  <c r="E45" i="3" s="1"/>
  <c r="J41" i="3"/>
  <c r="J40" i="3"/>
  <c r="D39" i="3"/>
  <c r="J53" i="3" s="1"/>
  <c r="J6" i="3" s="1"/>
  <c r="J8" i="3" s="1"/>
  <c r="C39" i="3"/>
  <c r="E38" i="3"/>
  <c r="I37" i="3"/>
  <c r="H37" i="3"/>
  <c r="E37" i="3"/>
  <c r="J36" i="3"/>
  <c r="E36" i="3"/>
  <c r="E39" i="3" s="1"/>
  <c r="J35" i="3"/>
  <c r="E35" i="3"/>
  <c r="J34" i="3"/>
  <c r="J33" i="3"/>
  <c r="J37" i="3" s="1"/>
  <c r="D32" i="3"/>
  <c r="C32" i="3"/>
  <c r="E31" i="3"/>
  <c r="I30" i="3"/>
  <c r="H30" i="3"/>
  <c r="E30" i="3"/>
  <c r="J29" i="3"/>
  <c r="E29" i="3"/>
  <c r="J28" i="3"/>
  <c r="E28" i="3"/>
  <c r="J27" i="3"/>
  <c r="E27" i="3"/>
  <c r="J26" i="3"/>
  <c r="E26" i="3"/>
  <c r="J25" i="3"/>
  <c r="E25" i="3"/>
  <c r="E32" i="3" s="1"/>
  <c r="J24" i="3"/>
  <c r="J30" i="3" s="1"/>
  <c r="D22" i="3"/>
  <c r="C22" i="3"/>
  <c r="I21" i="3"/>
  <c r="H21" i="3"/>
  <c r="E21" i="3"/>
  <c r="J20" i="3"/>
  <c r="E20" i="3"/>
  <c r="J19" i="3"/>
  <c r="E19" i="3"/>
  <c r="J18" i="3"/>
  <c r="E18" i="3"/>
  <c r="J17" i="3"/>
  <c r="E17" i="3"/>
  <c r="J16" i="3"/>
  <c r="E16" i="3"/>
  <c r="J15" i="3"/>
  <c r="E15" i="3"/>
  <c r="J14" i="3"/>
  <c r="E14" i="3"/>
  <c r="J13" i="3"/>
  <c r="E13" i="3"/>
  <c r="J12" i="3"/>
  <c r="J21" i="3" s="1"/>
  <c r="E12" i="3"/>
  <c r="E22" i="3" s="1"/>
  <c r="D63" i="2"/>
  <c r="C63" i="2"/>
  <c r="E62" i="2"/>
  <c r="E61" i="2"/>
  <c r="E60" i="2"/>
  <c r="E59" i="2"/>
  <c r="E58" i="2"/>
  <c r="E57" i="2"/>
  <c r="E56" i="2"/>
  <c r="E63" i="2" s="1"/>
  <c r="D53" i="2"/>
  <c r="C53" i="2"/>
  <c r="E52" i="2"/>
  <c r="E51" i="2"/>
  <c r="E50" i="2"/>
  <c r="I49" i="2"/>
  <c r="H49" i="2"/>
  <c r="E49" i="2"/>
  <c r="J48" i="2"/>
  <c r="E48" i="2"/>
  <c r="E53" i="2" s="1"/>
  <c r="J47" i="2"/>
  <c r="J46" i="2"/>
  <c r="J49" i="2" s="1"/>
  <c r="D45" i="2"/>
  <c r="C45" i="2"/>
  <c r="E44" i="2"/>
  <c r="I43" i="2"/>
  <c r="H43" i="2"/>
  <c r="E43" i="2"/>
  <c r="J42" i="2"/>
  <c r="E42" i="2"/>
  <c r="E45" i="2" s="1"/>
  <c r="J41" i="2"/>
  <c r="J40" i="2"/>
  <c r="J43" i="2" s="1"/>
  <c r="D39" i="2"/>
  <c r="C39" i="2"/>
  <c r="E38" i="2"/>
  <c r="I37" i="2"/>
  <c r="H37" i="2"/>
  <c r="E37" i="2"/>
  <c r="J36" i="2"/>
  <c r="E36" i="2"/>
  <c r="J35" i="2"/>
  <c r="E35" i="2"/>
  <c r="E39" i="2" s="1"/>
  <c r="J34" i="2"/>
  <c r="J37" i="2" s="1"/>
  <c r="J33" i="2"/>
  <c r="D32" i="2"/>
  <c r="C32" i="2"/>
  <c r="E31" i="2"/>
  <c r="I30" i="2"/>
  <c r="H30" i="2"/>
  <c r="E30" i="2"/>
  <c r="J29" i="2"/>
  <c r="E29" i="2"/>
  <c r="J28" i="2"/>
  <c r="E28" i="2"/>
  <c r="J27" i="2"/>
  <c r="E27" i="2"/>
  <c r="J26" i="2"/>
  <c r="E26" i="2"/>
  <c r="J25" i="2"/>
  <c r="J30" i="2" s="1"/>
  <c r="E25" i="2"/>
  <c r="E32" i="2" s="1"/>
  <c r="J24" i="2"/>
  <c r="D22" i="2"/>
  <c r="J53" i="2" s="1"/>
  <c r="J6" i="2" s="1"/>
  <c r="C22" i="2"/>
  <c r="J51" i="2" s="1"/>
  <c r="J4" i="2" s="1"/>
  <c r="I21" i="2"/>
  <c r="H21" i="2"/>
  <c r="E21" i="2"/>
  <c r="J20" i="2"/>
  <c r="E20" i="2"/>
  <c r="J19" i="2"/>
  <c r="E19" i="2"/>
  <c r="J18" i="2"/>
  <c r="E18" i="2"/>
  <c r="J17" i="2"/>
  <c r="E17" i="2"/>
  <c r="J16" i="2"/>
  <c r="E16" i="2"/>
  <c r="J15" i="2"/>
  <c r="E15" i="2"/>
  <c r="J14" i="2"/>
  <c r="E14" i="2"/>
  <c r="J13" i="2"/>
  <c r="E13" i="2"/>
  <c r="J12" i="2"/>
  <c r="J21" i="2" s="1"/>
  <c r="E12" i="2"/>
  <c r="E22" i="2" s="1"/>
  <c r="J55" i="2" s="1"/>
  <c r="E31" i="1"/>
  <c r="J29" i="1"/>
  <c r="J36" i="1"/>
  <c r="E38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J8" i="9" l="1"/>
  <c r="J8" i="7"/>
  <c r="E53" i="11"/>
  <c r="J21" i="11"/>
  <c r="J51" i="11"/>
  <c r="J4" i="11" s="1"/>
  <c r="J8" i="11" s="1"/>
  <c r="E45" i="11"/>
  <c r="E22" i="11"/>
  <c r="J49" i="12"/>
  <c r="J51" i="12"/>
  <c r="J4" i="12" s="1"/>
  <c r="J53" i="12"/>
  <c r="J6" i="12" s="1"/>
  <c r="E45" i="12"/>
  <c r="E53" i="12"/>
  <c r="E22" i="12"/>
  <c r="E32" i="12"/>
  <c r="E63" i="12"/>
  <c r="J21" i="12"/>
  <c r="J55" i="12" s="1"/>
  <c r="E39" i="12"/>
  <c r="J55" i="10"/>
  <c r="J55" i="9"/>
  <c r="J55" i="8"/>
  <c r="J55" i="6"/>
  <c r="J8" i="6"/>
  <c r="J55" i="5"/>
  <c r="J8" i="4"/>
  <c r="J55" i="4"/>
  <c r="J55" i="3"/>
  <c r="J8" i="2"/>
  <c r="J53" i="1"/>
  <c r="J51" i="1"/>
  <c r="E63" i="1"/>
  <c r="E22" i="1"/>
  <c r="J49" i="1"/>
  <c r="J43" i="1"/>
  <c r="J37" i="1"/>
  <c r="J30" i="1"/>
  <c r="E53" i="1"/>
  <c r="E45" i="1"/>
  <c r="E39" i="1"/>
  <c r="E32" i="1"/>
  <c r="J21" i="1"/>
  <c r="J55" i="11" l="1"/>
  <c r="J8" i="12"/>
  <c r="J55" i="1"/>
  <c r="J6" i="1"/>
  <c r="J4" i="1"/>
  <c r="J8" i="1" l="1"/>
</calcChain>
</file>

<file path=xl/sharedStrings.xml><?xml version="1.0" encoding="utf-8"?>
<sst xmlns="http://schemas.openxmlformats.org/spreadsheetml/2006/main" count="1584" uniqueCount="75">
  <si>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</si>
  <si>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</si>
  <si>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</si>
  <si>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</si>
  <si>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</si>
  <si>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</si>
  <si>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</si>
  <si>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</si>
  <si>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</si>
  <si>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</si>
  <si>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</si>
  <si>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</si>
  <si>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</si>
  <si>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</si>
  <si>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</si>
  <si>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</si>
  <si>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</si>
  <si>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</si>
  <si>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</si>
  <si>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</si>
  <si>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</si>
  <si>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</si>
  <si>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</si>
  <si>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</si>
  <si>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</si>
  <si>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</si>
  <si>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</si>
  <si>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</si>
  <si>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</si>
  <si>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</si>
  <si>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</si>
  <si>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</si>
  <si>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</si>
  <si>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</si>
  <si>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</si>
  <si>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</si>
  <si>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</si>
  <si>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</si>
  <si>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</si>
  <si>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</si>
  <si>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</si>
  <si>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Student</t>
  </si>
  <si>
    <t>Personal Monthly Budget</t>
  </si>
  <si>
    <t>Extra income</t>
  </si>
  <si>
    <t>Total monthly income</t>
  </si>
  <si>
    <t>Charity 3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</si>
  <si>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</si>
  <si>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</si>
  <si>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</si>
  <si>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</si>
  <si>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</si>
  <si>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</si>
  <si>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</si>
  <si>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</si>
  <si>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</si>
  <si>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</si>
  <si>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</si>
  <si>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INSURANCE</t>
  </si>
  <si>
    <t>FOOD</t>
  </si>
  <si>
    <t>SAVINGS OR INVESTMENTS</t>
  </si>
  <si>
    <t>GIFTS AND DONATIONS</t>
  </si>
  <si>
    <t>PETS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</si>
  <si>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</si>
  <si>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</si>
  <si>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</si>
  <si>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</si>
  <si>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</si>
  <si>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</si>
  <si>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</si>
  <si>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</si>
  <si>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</si>
  <si>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</si>
  <si>
    <t>Music</t>
  </si>
  <si>
    <t>Miscellaneous</t>
  </si>
  <si>
    <t>If you require the content on this web page in another format, please contact Erick Jones in the Student Money Management Center at erick.jones@ung.edu or by calling 706-867-3308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</si>
</sst>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6" fillId="0" borderId="0" xfId="0" applyFont="1" applyFill="1" applyAlignment="1">
      <alignment horizontal="left" vertical="center"/>
    </xf>
    <xf numFmtId="6" fontId="4" fillId="4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shrinkToFit="1"/>
    </xf>
    <xf numFmtId="6" fontId="4" fillId="4" borderId="1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 customBuiltin="1"/>
  </cellStyles>
  <dxfs count="1584"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\$#,##0.00"/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\$#,##0.0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\$#,##0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10668</xdr:colOff>
      <xdr:row>1</xdr:row>
      <xdr:rowOff>1005459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82768" cy="93878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4" name="TextBox 3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447674</xdr:colOff>
      <xdr:row>1</xdr:row>
      <xdr:rowOff>66675</xdr:rowOff>
    </xdr:from>
    <xdr:to>
      <xdr:col>10</xdr:col>
      <xdr:colOff>9524</xdr:colOff>
      <xdr:row>1</xdr:row>
      <xdr:rowOff>1073439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161925"/>
          <a:ext cx="5381625" cy="100676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0</xdr:colOff>
      <xdr:row>1</xdr:row>
      <xdr:rowOff>1073439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72100" cy="100676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0</xdr:colOff>
      <xdr:row>1</xdr:row>
      <xdr:rowOff>1076887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72100" cy="1010212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447674</xdr:colOff>
      <xdr:row>1</xdr:row>
      <xdr:rowOff>66675</xdr:rowOff>
    </xdr:from>
    <xdr:to>
      <xdr:col>9</xdr:col>
      <xdr:colOff>828674</xdr:colOff>
      <xdr:row>1</xdr:row>
      <xdr:rowOff>1073439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161925"/>
          <a:ext cx="5362575" cy="100676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19050</xdr:colOff>
      <xdr:row>1</xdr:row>
      <xdr:rowOff>1073439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91150" cy="100676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447674</xdr:colOff>
      <xdr:row>1</xdr:row>
      <xdr:rowOff>66675</xdr:rowOff>
    </xdr:from>
    <xdr:to>
      <xdr:col>10</xdr:col>
      <xdr:colOff>9524</xdr:colOff>
      <xdr:row>1</xdr:row>
      <xdr:rowOff>1073439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161925"/>
          <a:ext cx="5381625" cy="100676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447674</xdr:colOff>
      <xdr:row>1</xdr:row>
      <xdr:rowOff>66675</xdr:rowOff>
    </xdr:from>
    <xdr:to>
      <xdr:col>10</xdr:col>
      <xdr:colOff>9524</xdr:colOff>
      <xdr:row>1</xdr:row>
      <xdr:rowOff>1073439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161925"/>
          <a:ext cx="5381625" cy="1006764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0</xdr:colOff>
      <xdr:row>1</xdr:row>
      <xdr:rowOff>1076887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72100" cy="1010212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447674</xdr:colOff>
      <xdr:row>1</xdr:row>
      <xdr:rowOff>66675</xdr:rowOff>
    </xdr:from>
    <xdr:to>
      <xdr:col>10</xdr:col>
      <xdr:colOff>9524</xdr:colOff>
      <xdr:row>1</xdr:row>
      <xdr:rowOff>1080335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999" y="161925"/>
          <a:ext cx="5381625" cy="1013660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9525</xdr:colOff>
      <xdr:row>1</xdr:row>
      <xdr:rowOff>1076887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81625" cy="1010212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66675</xdr:rowOff>
    </xdr:from>
    <xdr:to>
      <xdr:col>10</xdr:col>
      <xdr:colOff>0</xdr:colOff>
      <xdr:row>1</xdr:row>
      <xdr:rowOff>1076887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161925"/>
          <a:ext cx="5372100" cy="1010212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57</xdr:row>
      <xdr:rowOff>0</xdr:rowOff>
    </xdr:from>
    <xdr:to>
      <xdr:col>10</xdr:col>
      <xdr:colOff>9524</xdr:colOff>
      <xdr:row>62</xdr:row>
      <xdr:rowOff>190500</xdr:rowOff>
    </xdr:to>
    <xdr:sp macro="" textlink="">
      <xdr:nvSpPr>
        <xdr:cNvPr id="3" name="TextBox 2"/>
        <xdr:cNvSpPr txBox="1"/>
      </xdr:nvSpPr>
      <xdr:spPr>
        <a:xfrm>
          <a:off x="5162549" y="1207770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B11:E22" totalsRowCount="1" headerRowDxfId="1583" dataDxfId="1582" totalsRowDxfId="1580" tableBorderDxfId="1581">
  <autoFilter ref="B11:E21"/>
  <tableColumns count="4">
    <tableColumn id="1" name="HOUSING" totalsRowLabel="Total" dataDxfId="1579" totalsRowDxfId="1578"/>
    <tableColumn id="2" name="Projected Cost" totalsRowFunction="sum" dataDxfId="1577" totalsRowDxfId="1576"/>
    <tableColumn id="3" name="Actual Cost" totalsRowFunction="sum" dataDxfId="1575" totalsRowDxfId="1574"/>
    <tableColumn id="4" name="Difference" totalsRowFunction="sum" dataDxfId="1573" totalsRowDxfId="1572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7" name="Table7" displayName="Table7" ref="B55:E63" totalsRowCount="1" headerRowDxfId="1475" dataDxfId="1474" totalsRowDxfId="1472" tableBorderDxfId="1473">
  <autoFilter ref="B55:E62"/>
  <tableColumns count="4">
    <tableColumn id="1" name="PERSONAL CARE" totalsRowLabel="Total" dataDxfId="1471" totalsRowDxfId="1470"/>
    <tableColumn id="2" name="Projected Cost" totalsRowFunction="sum" dataDxfId="1469" totalsRowDxfId="1468"/>
    <tableColumn id="3" name="Actual Cost" totalsRowFunction="sum" dataDxfId="1467" totalsRowDxfId="1466"/>
    <tableColumn id="4" name="Difference" totalsRowFunction="sum" dataDxfId="1465" totalsRowDxfId="1464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00.xml><?xml version="1.0" encoding="utf-8"?>
<table xmlns="http://schemas.openxmlformats.org/spreadsheetml/2006/main" id="100" name="Table1101" displayName="Table1101" ref="B11:E22" totalsRowCount="1" headerRowDxfId="395" dataDxfId="394" totalsRowDxfId="392" tableBorderDxfId="393">
  <autoFilter ref="B11:E21"/>
  <tableColumns count="4">
    <tableColumn id="1" name="HOUSING" totalsRowLabel="Total" dataDxfId="391" totalsRowDxfId="390"/>
    <tableColumn id="2" name="Projected Cost" totalsRowFunction="sum" dataDxfId="389" totalsRowDxfId="388"/>
    <tableColumn id="3" name="Actual Cost" totalsRowFunction="sum" dataDxfId="387" totalsRowDxfId="386"/>
    <tableColumn id="4" name="Difference" totalsRowFunction="sum" dataDxfId="385" totalsRowDxfId="384">
      <calculatedColumnFormula>Table1101[Projected Cost]-Table1101[Actual Cost]</calculatedColumnFormula>
    </tableColumn>
  </tableColumns>
  <tableStyleInfo name="TableStyleMedium23" showFirstColumn="0" showLastColumn="0" showRowStripes="1" showColumnStripes="0"/>
</table>
</file>

<file path=xl/tables/table101.xml><?xml version="1.0" encoding="utf-8"?>
<table xmlns="http://schemas.openxmlformats.org/spreadsheetml/2006/main" id="101" name="Table4102" displayName="Table4102" ref="B34:E39" totalsRowCount="1" headerRowDxfId="383" dataDxfId="382" totalsRowDxfId="380" tableBorderDxfId="381">
  <autoFilter ref="B34:E38"/>
  <tableColumns count="4">
    <tableColumn id="1" name="INSURANCE" totalsRowLabel="Total" dataDxfId="379" totalsRowDxfId="378"/>
    <tableColumn id="2" name="Projected Cost" totalsRowFunction="sum" dataDxfId="377" totalsRowDxfId="376"/>
    <tableColumn id="3" name="Actual Cost" totalsRowFunction="sum" dataDxfId="375" totalsRowDxfId="374"/>
    <tableColumn id="4" name="Difference" totalsRowFunction="sum" dataDxfId="373" totalsRowDxfId="372">
      <calculatedColumnFormula>Table4102[Projected Cost]-Table4102[Actual Cost]</calculatedColumnFormula>
    </tableColumn>
  </tableColumns>
  <tableStyleInfo name="TableStyleMedium23" showFirstColumn="0" showLastColumn="0" showRowStripes="1" showColumnStripes="0"/>
</table>
</file>

<file path=xl/tables/table102.xml><?xml version="1.0" encoding="utf-8"?>
<table xmlns="http://schemas.openxmlformats.org/spreadsheetml/2006/main" id="102" name="Table6103" displayName="Table6103" ref="B47:E53" totalsRowCount="1" headerRowDxfId="371" dataDxfId="370" totalsRowDxfId="368" tableBorderDxfId="369">
  <autoFilter ref="B47:E52"/>
  <tableColumns count="4">
    <tableColumn id="1" name="PETS" totalsRowLabel="Total" dataDxfId="367" totalsRowDxfId="366"/>
    <tableColumn id="2" name="Projected Cost" totalsRowFunction="sum" dataDxfId="365" totalsRowDxfId="364"/>
    <tableColumn id="3" name="Actual Cost" totalsRowFunction="sum" dataDxfId="363" totalsRowDxfId="362"/>
    <tableColumn id="4" name="Difference" totalsRowFunction="sum" dataDxfId="361" totalsRowDxfId="360">
      <calculatedColumnFormula>Table6103[Projected Cost]-Table6103[Actual Cost]</calculatedColumnFormula>
    </tableColumn>
  </tableColumns>
  <tableStyleInfo name="TableStyleMedium23" showFirstColumn="0" showLastColumn="0" showRowStripes="1" showColumnStripes="0"/>
</table>
</file>

<file path=xl/tables/table103.xml><?xml version="1.0" encoding="utf-8"?>
<table xmlns="http://schemas.openxmlformats.org/spreadsheetml/2006/main" id="103" name="Table11104" displayName="Table11104" ref="G45:J49" totalsRowCount="1" headerRowDxfId="359" dataDxfId="358" totalsRowDxfId="356" tableBorderDxfId="357">
  <autoFilter ref="G45:J48"/>
  <tableColumns count="4">
    <tableColumn id="1" name="GIFTS AND DONATIONS" totalsRowLabel="Total" dataDxfId="355" totalsRowDxfId="354"/>
    <tableColumn id="2" name="Projected Cost" totalsRowFunction="sum" dataDxfId="353" totalsRowDxfId="352"/>
    <tableColumn id="3" name="Actual Cost" totalsRowFunction="sum" dataDxfId="351" totalsRowDxfId="350"/>
    <tableColumn id="4" name="Difference" totalsRowFunction="sum" dataDxfId="349" totalsRowDxfId="348">
      <calculatedColumnFormula>Table11104[Projected Cost]-Table11104[Actual Cost]</calculatedColumnFormula>
    </tableColumn>
  </tableColumns>
  <tableStyleInfo name="TableStyleMedium23" showFirstColumn="0" showLastColumn="0" showRowStripes="1" showColumnStripes="0"/>
</table>
</file>

<file path=xl/tables/table104.xml><?xml version="1.0" encoding="utf-8"?>
<table xmlns="http://schemas.openxmlformats.org/spreadsheetml/2006/main" id="104" name="Table5105" displayName="Table5105" ref="B41:E45" totalsRowCount="1" headerRowDxfId="347" dataDxfId="346" totalsRowDxfId="344" tableBorderDxfId="345">
  <autoFilter ref="B41:E44"/>
  <tableColumns count="4">
    <tableColumn id="1" name="FOOD" totalsRowLabel="Total" dataDxfId="343" totalsRowDxfId="342"/>
    <tableColumn id="2" name="Projected Cost" totalsRowFunction="sum" dataDxfId="341" totalsRowDxfId="340"/>
    <tableColumn id="3" name="Actual Cost" totalsRowFunction="sum" dataDxfId="339" totalsRowDxfId="338"/>
    <tableColumn id="4" name="Difference" totalsRowFunction="sum" dataDxfId="337" totalsRowDxfId="336">
      <calculatedColumnFormula>Table5105[Projected Cost]-Table5105[Actual Cost]</calculatedColumnFormula>
    </tableColumn>
  </tableColumns>
  <tableStyleInfo name="TableStyleMedium23" showFirstColumn="0" showLastColumn="0" showRowStripes="1" showColumnStripes="0"/>
</table>
</file>

<file path=xl/tables/table105.xml><?xml version="1.0" encoding="utf-8"?>
<table xmlns="http://schemas.openxmlformats.org/spreadsheetml/2006/main" id="105" name="Table9106" displayName="Table9106" ref="G32:J37" totalsRowCount="1" headerRowDxfId="335" dataDxfId="334" totalsRowDxfId="332" tableBorderDxfId="333">
  <autoFilter ref="G32:J36"/>
  <tableColumns count="4">
    <tableColumn id="1" name="Other" totalsRowLabel="Total" dataDxfId="331" totalsRowDxfId="330"/>
    <tableColumn id="2" name="Projected Cost" totalsRowFunction="sum" dataDxfId="329" totalsRowDxfId="328"/>
    <tableColumn id="3" name="Actual Cost" totalsRowFunction="sum" dataDxfId="327" totalsRowDxfId="326"/>
    <tableColumn id="4" name="Difference" totalsRowFunction="sum" dataDxfId="325" totalsRowDxfId="324">
      <calculatedColumnFormula>Table9106[Projected Cost]-Table9106[Actual Cost]</calculatedColumnFormula>
    </tableColumn>
  </tableColumns>
  <tableStyleInfo name="TableStyleMedium23" showFirstColumn="0" showLastColumn="0" showRowStripes="1" showColumnStripes="0"/>
</table>
</file>

<file path=xl/tables/table106.xml><?xml version="1.0" encoding="utf-8"?>
<table xmlns="http://schemas.openxmlformats.org/spreadsheetml/2006/main" id="106" name="Table3107" displayName="Table3107" ref="B24:E32" totalsRowCount="1" headerRowDxfId="323" dataDxfId="322" totalsRowDxfId="320" tableBorderDxfId="321">
  <autoFilter ref="B24:E31"/>
  <tableColumns count="4">
    <tableColumn id="1" name="TRANSPORTATION" totalsRowLabel="Total" dataDxfId="319" totalsRowDxfId="318"/>
    <tableColumn id="2" name="Projected Cost" totalsRowFunction="sum" dataDxfId="317" totalsRowDxfId="316"/>
    <tableColumn id="3" name="Actual Cost" totalsRowFunction="sum" dataDxfId="315" totalsRowDxfId="314"/>
    <tableColumn id="4" name="Difference" totalsRowFunction="sum" dataDxfId="313" totalsRowDxfId="312">
      <calculatedColumnFormula>Table3107[Projected Cost]-Table3107[Actual Cost]</calculatedColumnFormula>
    </tableColumn>
  </tableColumns>
  <tableStyleInfo name="TableStyleMedium23" showFirstColumn="0" showLastColumn="0" showRowStripes="1" showColumnStripes="0"/>
</table>
</file>

<file path=xl/tables/table107.xml><?xml version="1.0" encoding="utf-8"?>
<table xmlns="http://schemas.openxmlformats.org/spreadsheetml/2006/main" id="107" name="Table8108" displayName="Table8108" ref="G23:J30" totalsRowCount="1" headerRowDxfId="311" dataDxfId="310" totalsRowDxfId="308" tableBorderDxfId="309">
  <autoFilter ref="G23:J29"/>
  <tableColumns count="4">
    <tableColumn id="1" name="LOANS" totalsRowLabel="Total" dataDxfId="307" totalsRowDxfId="306"/>
    <tableColumn id="2" name="Projected Cost" totalsRowFunction="sum" dataDxfId="305" totalsRowDxfId="304"/>
    <tableColumn id="3" name="Actual Cost" totalsRowFunction="sum" dataDxfId="303" totalsRowDxfId="302"/>
    <tableColumn id="4" name="Difference" totalsRowFunction="sum" dataDxfId="301" totalsRowDxfId="300">
      <calculatedColumnFormula>Table8108[Projected Cost]-Table8108[Actual Cost]</calculatedColumnFormula>
    </tableColumn>
  </tableColumns>
  <tableStyleInfo name="TableStyleMedium23" showFirstColumn="0" showLastColumn="0" showRowStripes="1" showColumnStripes="0"/>
</table>
</file>

<file path=xl/tables/table108.xml><?xml version="1.0" encoding="utf-8"?>
<table xmlns="http://schemas.openxmlformats.org/spreadsheetml/2006/main" id="108" name="Table10109" displayName="Table10109" ref="G39:J43" totalsRowCount="1" headerRowDxfId="299" dataDxfId="298" totalsRowDxfId="296" tableBorderDxfId="297">
  <autoFilter ref="G39:J42"/>
  <tableColumns count="4">
    <tableColumn id="1" name="SAVINGS OR INVESTMENTS" totalsRowLabel="Total" dataDxfId="295" totalsRowDxfId="294"/>
    <tableColumn id="2" name="Projected Cost" totalsRowFunction="sum" dataDxfId="293" totalsRowDxfId="292"/>
    <tableColumn id="3" name="Actual Cost" totalsRowFunction="sum" dataDxfId="291" totalsRowDxfId="290"/>
    <tableColumn id="4" name="Difference" totalsRowFunction="sum" dataDxfId="289" totalsRowDxfId="288">
      <calculatedColumnFormula>Table10109[Projected Cost]-Table10109[Actual Cost]</calculatedColumnFormula>
    </tableColumn>
  </tableColumns>
  <tableStyleInfo name="TableStyleMedium23" showFirstColumn="0" showLastColumn="0" showRowStripes="1" showColumnStripes="0"/>
</table>
</file>

<file path=xl/tables/table109.xml><?xml version="1.0" encoding="utf-8"?>
<table xmlns="http://schemas.openxmlformats.org/spreadsheetml/2006/main" id="109" name="Table7110" displayName="Table7110" ref="B55:E63" totalsRowCount="1" headerRowDxfId="287" dataDxfId="286" totalsRowDxfId="284" tableBorderDxfId="285">
  <autoFilter ref="B55:E62"/>
  <tableColumns count="4">
    <tableColumn id="1" name="PERSONAL CARE" totalsRowLabel="Total" dataDxfId="283" totalsRowDxfId="282"/>
    <tableColumn id="2" name="Projected Cost" totalsRowFunction="sum" dataDxfId="281" totalsRowDxfId="280"/>
    <tableColumn id="3" name="Actual Cost" totalsRowFunction="sum" dataDxfId="279" totalsRowDxfId="278"/>
    <tableColumn id="4" name="Difference" totalsRowFunction="sum" dataDxfId="277" totalsRowDxfId="276">
      <calculatedColumnFormula>Table7110[Projected Cost]-Table7110[Actual Cost]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2" name="Table2" displayName="Table2" ref="G11:J21" totalsRowCount="1" headerRowDxfId="1463" dataDxfId="1462" totalsRowDxfId="1460" tableBorderDxfId="1461">
  <autoFilter ref="G11:J20"/>
  <tableColumns count="4">
    <tableColumn id="1" name="ENTERTAINMENT" totalsRowLabel="Total" dataDxfId="1459" totalsRowDxfId="1458"/>
    <tableColumn id="2" name="Projected Cost" totalsRowFunction="sum" dataDxfId="1457" totalsRowDxfId="1456"/>
    <tableColumn id="3" name="Actual Cost" totalsRowFunction="sum" dataDxfId="1455" totalsRowDxfId="1454"/>
    <tableColumn id="4" name="Difference" totalsRowFunction="sum" dataDxfId="1453" totalsRowDxfId="1452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110.xml><?xml version="1.0" encoding="utf-8"?>
<table xmlns="http://schemas.openxmlformats.org/spreadsheetml/2006/main" id="110" name="Table2111" displayName="Table2111" ref="G11:J21" totalsRowCount="1" headerRowDxfId="275" dataDxfId="274" totalsRowDxfId="272" tableBorderDxfId="273">
  <autoFilter ref="G11:J20"/>
  <tableColumns count="4">
    <tableColumn id="1" name="ENTERTAINMENT" totalsRowLabel="Total" dataDxfId="271" totalsRowDxfId="270"/>
    <tableColumn id="2" name="Projected Cost" totalsRowFunction="sum" dataDxfId="269" totalsRowDxfId="268"/>
    <tableColumn id="3" name="Actual Cost" totalsRowFunction="sum" dataDxfId="267" totalsRowDxfId="266"/>
    <tableColumn id="4" name="Difference" totalsRowFunction="sum" dataDxfId="265" totalsRowDxfId="264">
      <calculatedColumnFormula>Table2111[Projected Cost]-Table2111[Actual Cost]</calculatedColumnFormula>
    </tableColumn>
  </tableColumns>
  <tableStyleInfo name="TableStyleMedium23" showFirstColumn="0" showLastColumn="0" showRowStripes="1" showColumnStripes="0"/>
</table>
</file>

<file path=xl/tables/table111.xml><?xml version="1.0" encoding="utf-8"?>
<table xmlns="http://schemas.openxmlformats.org/spreadsheetml/2006/main" id="111" name="Table1112" displayName="Table1112" ref="B11:E22" totalsRowCount="1" headerRowDxfId="263" dataDxfId="262" totalsRowDxfId="260" tableBorderDxfId="261">
  <autoFilter ref="B11:E21"/>
  <tableColumns count="4">
    <tableColumn id="1" name="HOUSING" totalsRowLabel="Total" dataDxfId="259" totalsRowDxfId="258"/>
    <tableColumn id="2" name="Projected Cost" totalsRowFunction="sum" dataDxfId="257" totalsRowDxfId="256"/>
    <tableColumn id="3" name="Actual Cost" totalsRowFunction="sum" dataDxfId="255" totalsRowDxfId="254"/>
    <tableColumn id="4" name="Difference" totalsRowFunction="sum" dataDxfId="253" totalsRowDxfId="252">
      <calculatedColumnFormula>Table1112[Projected Cost]-Table1112[Actual Cost]</calculatedColumnFormula>
    </tableColumn>
  </tableColumns>
  <tableStyleInfo name="TableStyleMedium23" showFirstColumn="0" showLastColumn="0" showRowStripes="1" showColumnStripes="0"/>
</table>
</file>

<file path=xl/tables/table112.xml><?xml version="1.0" encoding="utf-8"?>
<table xmlns="http://schemas.openxmlformats.org/spreadsheetml/2006/main" id="112" name="Table4113" displayName="Table4113" ref="B34:E39" totalsRowCount="1" headerRowDxfId="251" dataDxfId="250" totalsRowDxfId="248" tableBorderDxfId="249">
  <autoFilter ref="B34:E38"/>
  <tableColumns count="4">
    <tableColumn id="1" name="INSURANCE" totalsRowLabel="Total" dataDxfId="247" totalsRowDxfId="246"/>
    <tableColumn id="2" name="Projected Cost" totalsRowFunction="sum" dataDxfId="245" totalsRowDxfId="244"/>
    <tableColumn id="3" name="Actual Cost" totalsRowFunction="sum" dataDxfId="243" totalsRowDxfId="242"/>
    <tableColumn id="4" name="Difference" totalsRowFunction="sum" dataDxfId="241" totalsRowDxfId="240">
      <calculatedColumnFormula>Table4113[Projected Cost]-Table4113[Actual Cost]</calculatedColumnFormula>
    </tableColumn>
  </tableColumns>
  <tableStyleInfo name="TableStyleMedium23" showFirstColumn="0" showLastColumn="0" showRowStripes="1" showColumnStripes="0"/>
</table>
</file>

<file path=xl/tables/table113.xml><?xml version="1.0" encoding="utf-8"?>
<table xmlns="http://schemas.openxmlformats.org/spreadsheetml/2006/main" id="113" name="Table6114" displayName="Table6114" ref="B47:E53" totalsRowCount="1" headerRowDxfId="239" dataDxfId="238" totalsRowDxfId="236" tableBorderDxfId="237">
  <autoFilter ref="B47:E52"/>
  <tableColumns count="4">
    <tableColumn id="1" name="PETS" totalsRowLabel="Total" dataDxfId="235" totalsRowDxfId="234"/>
    <tableColumn id="2" name="Projected Cost" totalsRowFunction="sum" dataDxfId="233" totalsRowDxfId="232"/>
    <tableColumn id="3" name="Actual Cost" totalsRowFunction="sum" dataDxfId="231" totalsRowDxfId="230"/>
    <tableColumn id="4" name="Difference" totalsRowFunction="sum" dataDxfId="229" totalsRowDxfId="228">
      <calculatedColumnFormula>Table6114[Projected Cost]-Table6114[Actual Cost]</calculatedColumnFormula>
    </tableColumn>
  </tableColumns>
  <tableStyleInfo name="TableStyleMedium23" showFirstColumn="0" showLastColumn="0" showRowStripes="1" showColumnStripes="0"/>
</table>
</file>

<file path=xl/tables/table114.xml><?xml version="1.0" encoding="utf-8"?>
<table xmlns="http://schemas.openxmlformats.org/spreadsheetml/2006/main" id="114" name="Table11115" displayName="Table11115" ref="G45:J49" totalsRowCount="1" headerRowDxfId="227" dataDxfId="226" totalsRowDxfId="224" tableBorderDxfId="225">
  <autoFilter ref="G45:J48"/>
  <tableColumns count="4">
    <tableColumn id="1" name="GIFTS AND DONATIONS" totalsRowLabel="Total" dataDxfId="223" totalsRowDxfId="222"/>
    <tableColumn id="2" name="Projected Cost" totalsRowFunction="sum" dataDxfId="221" totalsRowDxfId="220"/>
    <tableColumn id="3" name="Actual Cost" totalsRowFunction="sum" dataDxfId="219" totalsRowDxfId="218"/>
    <tableColumn id="4" name="Difference" totalsRowFunction="sum" dataDxfId="217" totalsRowDxfId="216">
      <calculatedColumnFormula>Table11115[Projected Cost]-Table11115[Actual Cost]</calculatedColumnFormula>
    </tableColumn>
  </tableColumns>
  <tableStyleInfo name="TableStyleMedium23" showFirstColumn="0" showLastColumn="0" showRowStripes="1" showColumnStripes="0"/>
</table>
</file>

<file path=xl/tables/table115.xml><?xml version="1.0" encoding="utf-8"?>
<table xmlns="http://schemas.openxmlformats.org/spreadsheetml/2006/main" id="115" name="Table5116" displayName="Table5116" ref="B41:E45" totalsRowCount="1" headerRowDxfId="215" dataDxfId="214" totalsRowDxfId="212" tableBorderDxfId="213">
  <autoFilter ref="B41:E44"/>
  <tableColumns count="4">
    <tableColumn id="1" name="FOOD" totalsRowLabel="Total" dataDxfId="211" totalsRowDxfId="210"/>
    <tableColumn id="2" name="Projected Cost" totalsRowFunction="sum" dataDxfId="209" totalsRowDxfId="208"/>
    <tableColumn id="3" name="Actual Cost" totalsRowFunction="sum" dataDxfId="207" totalsRowDxfId="206"/>
    <tableColumn id="4" name="Difference" totalsRowFunction="sum" dataDxfId="205" totalsRowDxfId="204">
      <calculatedColumnFormula>Table5116[Projected Cost]-Table5116[Actual Cost]</calculatedColumnFormula>
    </tableColumn>
  </tableColumns>
  <tableStyleInfo name="TableStyleMedium23" showFirstColumn="0" showLastColumn="0" showRowStripes="1" showColumnStripes="0"/>
</table>
</file>

<file path=xl/tables/table116.xml><?xml version="1.0" encoding="utf-8"?>
<table xmlns="http://schemas.openxmlformats.org/spreadsheetml/2006/main" id="116" name="Table9117" displayName="Table9117" ref="G32:J37" totalsRowCount="1" headerRowDxfId="203" dataDxfId="202" totalsRowDxfId="200" tableBorderDxfId="201">
  <autoFilter ref="G32:J36"/>
  <tableColumns count="4">
    <tableColumn id="1" name="Other" totalsRowLabel="Total" dataDxfId="199" totalsRowDxfId="198"/>
    <tableColumn id="2" name="Projected Cost" totalsRowFunction="sum" dataDxfId="197" totalsRowDxfId="196"/>
    <tableColumn id="3" name="Actual Cost" totalsRowFunction="sum" dataDxfId="195" totalsRowDxfId="194"/>
    <tableColumn id="4" name="Difference" totalsRowFunction="sum" dataDxfId="193" totalsRowDxfId="192">
      <calculatedColumnFormula>Table9117[Projected Cost]-Table9117[Actual Cost]</calculatedColumnFormula>
    </tableColumn>
  </tableColumns>
  <tableStyleInfo name="TableStyleMedium23" showFirstColumn="0" showLastColumn="0" showRowStripes="1" showColumnStripes="0"/>
</table>
</file>

<file path=xl/tables/table117.xml><?xml version="1.0" encoding="utf-8"?>
<table xmlns="http://schemas.openxmlformats.org/spreadsheetml/2006/main" id="117" name="Table3118" displayName="Table3118" ref="B24:E32" totalsRowCount="1" headerRowDxfId="191" dataDxfId="190" totalsRowDxfId="188" tableBorderDxfId="189">
  <autoFilter ref="B24:E31"/>
  <tableColumns count="4">
    <tableColumn id="1" name="TRANSPORTATION" totalsRowLabel="Total" dataDxfId="187" totalsRowDxfId="186"/>
    <tableColumn id="2" name="Projected Cost" totalsRowFunction="sum" dataDxfId="185" totalsRowDxfId="184"/>
    <tableColumn id="3" name="Actual Cost" totalsRowFunction="sum" dataDxfId="183" totalsRowDxfId="182"/>
    <tableColumn id="4" name="Difference" totalsRowFunction="sum" dataDxfId="181" totalsRowDxfId="180">
      <calculatedColumnFormula>Table3118[Projected Cost]-Table3118[Actual Cost]</calculatedColumnFormula>
    </tableColumn>
  </tableColumns>
  <tableStyleInfo name="TableStyleMedium23" showFirstColumn="0" showLastColumn="0" showRowStripes="1" showColumnStripes="0"/>
</table>
</file>

<file path=xl/tables/table118.xml><?xml version="1.0" encoding="utf-8"?>
<table xmlns="http://schemas.openxmlformats.org/spreadsheetml/2006/main" id="118" name="Table8119" displayName="Table8119" ref="G23:J30" totalsRowCount="1" headerRowDxfId="179" dataDxfId="178" totalsRowDxfId="176" tableBorderDxfId="177">
  <autoFilter ref="G23:J29"/>
  <tableColumns count="4">
    <tableColumn id="1" name="LOANS" totalsRowLabel="Total" dataDxfId="175" totalsRowDxfId="174"/>
    <tableColumn id="2" name="Projected Cost" totalsRowFunction="sum" dataDxfId="173" totalsRowDxfId="172"/>
    <tableColumn id="3" name="Actual Cost" totalsRowFunction="sum" dataDxfId="171" totalsRowDxfId="170"/>
    <tableColumn id="4" name="Difference" totalsRowFunction="sum" dataDxfId="169" totalsRowDxfId="168">
      <calculatedColumnFormula>Table8119[Projected Cost]-Table8119[Actual Cost]</calculatedColumnFormula>
    </tableColumn>
  </tableColumns>
  <tableStyleInfo name="TableStyleMedium23" showFirstColumn="0" showLastColumn="0" showRowStripes="1" showColumnStripes="0"/>
</table>
</file>

<file path=xl/tables/table119.xml><?xml version="1.0" encoding="utf-8"?>
<table xmlns="http://schemas.openxmlformats.org/spreadsheetml/2006/main" id="119" name="Table10120" displayName="Table10120" ref="G39:J43" totalsRowCount="1" headerRowDxfId="167" dataDxfId="166" totalsRowDxfId="164" tableBorderDxfId="165">
  <autoFilter ref="G39:J42"/>
  <tableColumns count="4">
    <tableColumn id="1" name="SAVINGS OR INVESTMENTS" totalsRowLabel="Total" dataDxfId="163" totalsRowDxfId="162"/>
    <tableColumn id="2" name="Projected Cost" totalsRowFunction="sum" dataDxfId="161" totalsRowDxfId="160"/>
    <tableColumn id="3" name="Actual Cost" totalsRowFunction="sum" dataDxfId="159" totalsRowDxfId="158"/>
    <tableColumn id="4" name="Difference" totalsRowFunction="sum" dataDxfId="157" totalsRowDxfId="156">
      <calculatedColumnFormula>Table10120[Projected Cost]-Table10120[Actual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12" name="Table113" displayName="Table113" ref="B11:E22" totalsRowCount="1" headerRowDxfId="1451" dataDxfId="1450" totalsRowDxfId="1448" tableBorderDxfId="1449">
  <autoFilter ref="B11:E21"/>
  <tableColumns count="4">
    <tableColumn id="1" name="HOUSING" totalsRowLabel="Total" dataDxfId="1447" totalsRowDxfId="1446"/>
    <tableColumn id="2" name="Projected Cost" totalsRowFunction="sum" dataDxfId="1445" totalsRowDxfId="1444"/>
    <tableColumn id="3" name="Actual Cost" totalsRowFunction="sum" dataDxfId="1443" totalsRowDxfId="1442"/>
    <tableColumn id="4" name="Difference" totalsRowFunction="sum" dataDxfId="1441" totalsRowDxfId="1440">
      <calculatedColumnFormula>Table113[Projected Cost]-Table113[Actual Cost]</calculatedColumnFormula>
    </tableColumn>
  </tableColumns>
  <tableStyleInfo name="TableStyleMedium23" showFirstColumn="0" showLastColumn="0" showRowStripes="1" showColumnStripes="0"/>
</table>
</file>

<file path=xl/tables/table120.xml><?xml version="1.0" encoding="utf-8"?>
<table xmlns="http://schemas.openxmlformats.org/spreadsheetml/2006/main" id="120" name="Table7121" displayName="Table7121" ref="B55:E63" totalsRowCount="1" headerRowDxfId="155" dataDxfId="154" totalsRowDxfId="152" tableBorderDxfId="153">
  <autoFilter ref="B55:E62"/>
  <tableColumns count="4">
    <tableColumn id="1" name="PERSONAL CARE" totalsRowLabel="Total" dataDxfId="151" totalsRowDxfId="150"/>
    <tableColumn id="2" name="Projected Cost" totalsRowFunction="sum" dataDxfId="149" totalsRowDxfId="148"/>
    <tableColumn id="3" name="Actual Cost" totalsRowFunction="sum" dataDxfId="147" totalsRowDxfId="146"/>
    <tableColumn id="4" name="Difference" totalsRowFunction="sum" dataDxfId="145" totalsRowDxfId="144">
      <calculatedColumnFormula>Table7121[Projected Cost]-Table7121[Actual Cost]</calculatedColumnFormula>
    </tableColumn>
  </tableColumns>
  <tableStyleInfo name="TableStyleMedium23" showFirstColumn="0" showLastColumn="0" showRowStripes="1" showColumnStripes="0"/>
</table>
</file>

<file path=xl/tables/table121.xml><?xml version="1.0" encoding="utf-8"?>
<table xmlns="http://schemas.openxmlformats.org/spreadsheetml/2006/main" id="121" name="Table2122" displayName="Table2122" ref="G11:J21" totalsRowCount="1" headerRowDxfId="143" dataDxfId="142" totalsRowDxfId="140" tableBorderDxfId="141">
  <autoFilter ref="G11:J20"/>
  <tableColumns count="4">
    <tableColumn id="1" name="ENTERTAINMENT" totalsRowLabel="Total" dataDxfId="139" totalsRowDxfId="138"/>
    <tableColumn id="2" name="Projected Cost" totalsRowFunction="sum" dataDxfId="137" totalsRowDxfId="136"/>
    <tableColumn id="3" name="Actual Cost" totalsRowFunction="sum" dataDxfId="135" totalsRowDxfId="134"/>
    <tableColumn id="4" name="Difference" totalsRowFunction="sum" dataDxfId="133" totalsRowDxfId="132">
      <calculatedColumnFormula>Table2122[Projected Cost]-Table2122[Actual Cost]</calculatedColumnFormula>
    </tableColumn>
  </tableColumns>
  <tableStyleInfo name="TableStyleMedium23" showFirstColumn="0" showLastColumn="0" showRowStripes="1" showColumnStripes="0"/>
</table>
</file>

<file path=xl/tables/table122.xml><?xml version="1.0" encoding="utf-8"?>
<table xmlns="http://schemas.openxmlformats.org/spreadsheetml/2006/main" id="122" name="Table1123" displayName="Table1123" ref="B11:E22" totalsRowCount="1" headerRowDxfId="131" dataDxfId="130" totalsRowDxfId="128" tableBorderDxfId="129">
  <autoFilter ref="B11:E21"/>
  <tableColumns count="4">
    <tableColumn id="1" name="HOUSING" totalsRowLabel="Total" dataDxfId="127" totalsRowDxfId="126"/>
    <tableColumn id="2" name="Projected Cost" totalsRowFunction="sum" dataDxfId="125" totalsRowDxfId="124"/>
    <tableColumn id="3" name="Actual Cost" totalsRowFunction="sum" dataDxfId="123" totalsRowDxfId="122"/>
    <tableColumn id="4" name="Difference" totalsRowFunction="sum" dataDxfId="121" totalsRowDxfId="120">
      <calculatedColumnFormula>Table1123[Projected Cost]-Table1123[Actual Cost]</calculatedColumnFormula>
    </tableColumn>
  </tableColumns>
  <tableStyleInfo name="TableStyleMedium23" showFirstColumn="0" showLastColumn="0" showRowStripes="1" showColumnStripes="0"/>
</table>
</file>

<file path=xl/tables/table123.xml><?xml version="1.0" encoding="utf-8"?>
<table xmlns="http://schemas.openxmlformats.org/spreadsheetml/2006/main" id="123" name="Table4124" displayName="Table4124" ref="B34:E39" totalsRowCount="1" headerRowDxfId="119" dataDxfId="118" totalsRowDxfId="116" tableBorderDxfId="117">
  <autoFilter ref="B34:E38"/>
  <tableColumns count="4">
    <tableColumn id="1" name="INSURANCE" totalsRowLabel="Total" dataDxfId="115" totalsRowDxfId="114"/>
    <tableColumn id="2" name="Projected Cost" totalsRowFunction="sum" dataDxfId="113" totalsRowDxfId="112"/>
    <tableColumn id="3" name="Actual Cost" totalsRowFunction="sum" dataDxfId="111" totalsRowDxfId="110"/>
    <tableColumn id="4" name="Difference" totalsRowFunction="sum" dataDxfId="109" totalsRowDxfId="108">
      <calculatedColumnFormula>Table4124[Projected Cost]-Table4124[Actual Cost]</calculatedColumnFormula>
    </tableColumn>
  </tableColumns>
  <tableStyleInfo name="TableStyleMedium23" showFirstColumn="0" showLastColumn="0" showRowStripes="1" showColumnStripes="0"/>
</table>
</file>

<file path=xl/tables/table124.xml><?xml version="1.0" encoding="utf-8"?>
<table xmlns="http://schemas.openxmlformats.org/spreadsheetml/2006/main" id="124" name="Table6125" displayName="Table6125" ref="B47:E53" totalsRowCount="1" headerRowDxfId="107" dataDxfId="106" totalsRowDxfId="104" tableBorderDxfId="105">
  <autoFilter ref="B47:E52"/>
  <tableColumns count="4">
    <tableColumn id="1" name="PETS" totalsRowLabel="Total" dataDxfId="103" totalsRowDxfId="102"/>
    <tableColumn id="2" name="Projected Cost" totalsRowFunction="sum" dataDxfId="101" totalsRowDxfId="100"/>
    <tableColumn id="3" name="Actual Cost" totalsRowFunction="sum" dataDxfId="99" totalsRowDxfId="98"/>
    <tableColumn id="4" name="Difference" totalsRowFunction="sum" dataDxfId="97" totalsRowDxfId="96">
      <calculatedColumnFormula>Table6125[Projected Cost]-Table6125[Actual Cost]</calculatedColumnFormula>
    </tableColumn>
  </tableColumns>
  <tableStyleInfo name="TableStyleMedium23" showFirstColumn="0" showLastColumn="0" showRowStripes="1" showColumnStripes="0"/>
</table>
</file>

<file path=xl/tables/table125.xml><?xml version="1.0" encoding="utf-8"?>
<table xmlns="http://schemas.openxmlformats.org/spreadsheetml/2006/main" id="126" name="Table5127" displayName="Table5127" ref="B41:E45" totalsRowCount="1" headerRowDxfId="95" dataDxfId="94" totalsRowDxfId="92" tableBorderDxfId="93">
  <autoFilter ref="B41:E44"/>
  <tableColumns count="4">
    <tableColumn id="1" name="FOOD" totalsRowLabel="Total" dataDxfId="91" totalsRowDxfId="90"/>
    <tableColumn id="2" name="Projected Cost" totalsRowFunction="sum" dataDxfId="89" totalsRowDxfId="88"/>
    <tableColumn id="3" name="Actual Cost" totalsRowFunction="sum" dataDxfId="87" totalsRowDxfId="86"/>
    <tableColumn id="4" name="Difference" totalsRowFunction="sum" dataDxfId="85" totalsRowDxfId="84">
      <calculatedColumnFormula>Table5127[Projected Cost]-Table5127[Actual Cost]</calculatedColumnFormula>
    </tableColumn>
  </tableColumns>
  <tableStyleInfo name="TableStyleMedium23" showFirstColumn="0" showLastColumn="0" showRowStripes="1" showColumnStripes="0"/>
</table>
</file>

<file path=xl/tables/table126.xml><?xml version="1.0" encoding="utf-8"?>
<table xmlns="http://schemas.openxmlformats.org/spreadsheetml/2006/main" id="128" name="Table3129" displayName="Table3129" ref="B24:E32" totalsRowCount="1" headerRowDxfId="83" dataDxfId="82" totalsRowDxfId="80" tableBorderDxfId="81">
  <autoFilter ref="B24:E31"/>
  <tableColumns count="4">
    <tableColumn id="1" name="TRANSPORTATION" totalsRowLabel="Total" dataDxfId="79" totalsRowDxfId="78"/>
    <tableColumn id="2" name="Projected Cost" totalsRowFunction="sum" dataDxfId="77" totalsRowDxfId="76"/>
    <tableColumn id="3" name="Actual Cost" totalsRowFunction="sum" dataDxfId="75" totalsRowDxfId="74"/>
    <tableColumn id="4" name="Difference" totalsRowFunction="sum" dataDxfId="73" totalsRowDxfId="72">
      <calculatedColumnFormula>Table3129[Projected Cost]-Table3129[Actual Cost]</calculatedColumnFormula>
    </tableColumn>
  </tableColumns>
  <tableStyleInfo name="TableStyleMedium23" showFirstColumn="0" showLastColumn="0" showRowStripes="1" showColumnStripes="0"/>
</table>
</file>

<file path=xl/tables/table127.xml><?xml version="1.0" encoding="utf-8"?>
<table xmlns="http://schemas.openxmlformats.org/spreadsheetml/2006/main" id="129" name="Table8130" displayName="Table8130" ref="G23:J30" totalsRowCount="1" headerRowDxfId="71" dataDxfId="70" totalsRowDxfId="68" tableBorderDxfId="69">
  <autoFilter ref="G23:J29"/>
  <tableColumns count="4">
    <tableColumn id="1" name="LOANS" totalsRowLabel="Total" dataDxfId="67" totalsRowDxfId="66"/>
    <tableColumn id="2" name="Projected Cost" totalsRowFunction="sum" dataDxfId="65" totalsRowDxfId="64"/>
    <tableColumn id="3" name="Actual Cost" totalsRowFunction="sum" dataDxfId="63" totalsRowDxfId="62"/>
    <tableColumn id="4" name="Difference" totalsRowFunction="sum" dataDxfId="61" totalsRowDxfId="60">
      <calculatedColumnFormula>Table8130[Projected Cost]-Table8130[Actual Cost]</calculatedColumnFormula>
    </tableColumn>
  </tableColumns>
  <tableStyleInfo name="TableStyleMedium23" showFirstColumn="0" showLastColumn="0" showRowStripes="1" showColumnStripes="0"/>
</table>
</file>

<file path=xl/tables/table128.xml><?xml version="1.0" encoding="utf-8"?>
<table xmlns="http://schemas.openxmlformats.org/spreadsheetml/2006/main" id="131" name="Table7132" displayName="Table7132" ref="B55:E63" totalsRowCount="1" headerRowDxfId="59" dataDxfId="58" totalsRowDxfId="56" tableBorderDxfId="57">
  <autoFilter ref="B55:E62"/>
  <tableColumns count="4">
    <tableColumn id="1" name="PERSONAL CARE" totalsRowLabel="Total" dataDxfId="55" totalsRowDxfId="54"/>
    <tableColumn id="2" name="Projected Cost" totalsRowFunction="sum" dataDxfId="53" totalsRowDxfId="52"/>
    <tableColumn id="3" name="Actual Cost" totalsRowFunction="sum" dataDxfId="51" totalsRowDxfId="50"/>
    <tableColumn id="4" name="Difference" totalsRowFunction="sum" dataDxfId="49" totalsRowDxfId="48">
      <calculatedColumnFormula>Table7132[Projected Cost]-Table7132[Actual Cost]</calculatedColumnFormula>
    </tableColumn>
  </tableColumns>
  <tableStyleInfo name="TableStyleMedium23" showFirstColumn="0" showLastColumn="0" showRowStripes="1" showColumnStripes="0"/>
</table>
</file>

<file path=xl/tables/table129.xml><?xml version="1.0" encoding="utf-8"?>
<table xmlns="http://schemas.openxmlformats.org/spreadsheetml/2006/main" id="132" name="Table2133" displayName="Table2133" ref="G11:J21" totalsRowCount="1" headerRowDxfId="47" dataDxfId="46" totalsRowDxfId="44" tableBorderDxfId="45">
  <autoFilter ref="G11:J20"/>
  <tableColumns count="4">
    <tableColumn id="1" name="ENTERTAINMENT" totalsRowLabel="Total" dataDxfId="43" totalsRowDxfId="42"/>
    <tableColumn id="2" name="Projected Cost" totalsRowFunction="sum" dataDxfId="41" totalsRowDxfId="40"/>
    <tableColumn id="3" name="Actual Cost" totalsRowFunction="sum" dataDxfId="39" totalsRowDxfId="38"/>
    <tableColumn id="4" name="Difference" totalsRowFunction="sum" dataDxfId="37" totalsRowDxfId="36">
      <calculatedColumnFormula>Table2133[Projected Cost]-Table2133[Actual Cost]</calculatedColumnFormula>
    </tableColumn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13" name="Table414" displayName="Table414" ref="B34:E39" totalsRowCount="1" headerRowDxfId="1439" dataDxfId="1438" totalsRowDxfId="1436" tableBorderDxfId="1437">
  <autoFilter ref="B34:E38"/>
  <tableColumns count="4">
    <tableColumn id="1" name="INSURANCE" totalsRowLabel="Total" dataDxfId="1435" totalsRowDxfId="1434"/>
    <tableColumn id="2" name="Projected Cost" totalsRowFunction="sum" dataDxfId="1433" totalsRowDxfId="1432"/>
    <tableColumn id="3" name="Actual Cost" totalsRowFunction="sum" dataDxfId="1431" totalsRowDxfId="1430"/>
    <tableColumn id="4" name="Difference" totalsRowFunction="sum" dataDxfId="1429" totalsRowDxfId="1428">
      <calculatedColumnFormula>Table414[Projected Cost]-Table414[Actual Cost]</calculatedColumnFormula>
    </tableColumn>
  </tableColumns>
  <tableStyleInfo name="TableStyleMedium23" showFirstColumn="0" showLastColumn="0" showRowStripes="1" showColumnStripes="0"/>
</table>
</file>

<file path=xl/tables/table130.xml><?xml version="1.0" encoding="utf-8"?>
<table xmlns="http://schemas.openxmlformats.org/spreadsheetml/2006/main" id="125" name="Table11126" displayName="Table11126" ref="G45:J49" totalsRowCount="1" headerRowDxfId="35" dataDxfId="34" totalsRowDxfId="32" tableBorderDxfId="33">
  <autoFilter ref="G45:J48"/>
  <tableColumns count="4">
    <tableColumn id="1" name="GIFTS AND DONATIONS" totalsRowLabel="Total" dataDxfId="31" totalsRowDxfId="30"/>
    <tableColumn id="2" name="Projected Cost" totalsRowFunction="sum" dataDxfId="29" totalsRowDxfId="28"/>
    <tableColumn id="3" name="Actual Cost" totalsRowFunction="sum" dataDxfId="27" totalsRowDxfId="26"/>
    <tableColumn id="4" name="Difference" totalsRowFunction="sum" dataDxfId="25" totalsRowDxfId="24">
      <calculatedColumnFormula>Table11126[Projected Cost]-Table11126[Actual Cost]</calculatedColumnFormula>
    </tableColumn>
  </tableColumns>
  <tableStyleInfo name="TableStyleMedium23" showFirstColumn="0" showLastColumn="0" showRowStripes="1" showColumnStripes="0"/>
</table>
</file>

<file path=xl/tables/table131.xml><?xml version="1.0" encoding="utf-8"?>
<table xmlns="http://schemas.openxmlformats.org/spreadsheetml/2006/main" id="127" name="Table9128" displayName="Table9128" ref="G32:J37" totalsRowCount="1" headerRowDxfId="23" dataDxfId="22" totalsRowDxfId="20" tableBorderDxfId="21">
  <autoFilter ref="G32:J36"/>
  <tableColumns count="4">
    <tableColumn id="1" name="Miscellaneous" totalsRowLabel="Total" dataDxfId="19" totalsRowDxfId="18"/>
    <tableColumn id="2" name="Projected Cost" totalsRowFunction="sum" dataDxfId="17" totalsRowDxfId="16"/>
    <tableColumn id="3" name="Actual Cost" totalsRowFunction="sum" dataDxfId="15" totalsRowDxfId="14"/>
    <tableColumn id="4" name="Difference" totalsRowFunction="sum" dataDxfId="13" totalsRowDxfId="12">
      <calculatedColumnFormula>Table9128[Projected Cost]-Table9128[Actual Cost]</calculatedColumnFormula>
    </tableColumn>
  </tableColumns>
  <tableStyleInfo name="TableStyleMedium23" showFirstColumn="0" showLastColumn="0" showRowStripes="1" showColumnStripes="0"/>
</table>
</file>

<file path=xl/tables/table132.xml><?xml version="1.0" encoding="utf-8"?>
<table xmlns="http://schemas.openxmlformats.org/spreadsheetml/2006/main" id="130" name="Table10131" displayName="Table10131" ref="G39:J43" totalsRowCount="1" headerRowDxfId="11" dataDxfId="10" totalsRowDxfId="8" tableBorderDxfId="9">
  <autoFilter ref="G39:J42"/>
  <tableColumns count="4">
    <tableColumn id="1" name="SAVINGS OR INVESTMENTS" totalsRowLabel="Total" dataDxfId="7" totalsRowDxfId="6"/>
    <tableColumn id="2" name="Projected Cost" totalsRowFunction="sum" dataDxfId="5" totalsRowDxfId="4"/>
    <tableColumn id="3" name="Actual Cost" totalsRowFunction="sum" dataDxfId="3" totalsRowDxfId="2"/>
    <tableColumn id="4" name="Difference" totalsRowFunction="sum" dataDxfId="1" totalsRowDxfId="0">
      <calculatedColumnFormula>Table10131[Projected Cost]-Table10131[Actual Cost]</calculatedColumnFormula>
    </tableColumn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14" name="Table615" displayName="Table615" ref="B47:E53" totalsRowCount="1" headerRowDxfId="1427" dataDxfId="1426" totalsRowDxfId="1424" tableBorderDxfId="1425">
  <autoFilter ref="B47:E52"/>
  <tableColumns count="4">
    <tableColumn id="1" name="PETS" totalsRowLabel="Total" dataDxfId="1423" totalsRowDxfId="1422"/>
    <tableColumn id="2" name="Projected Cost" totalsRowFunction="sum" dataDxfId="1421" totalsRowDxfId="1420"/>
    <tableColumn id="3" name="Actual Cost" totalsRowFunction="sum" dataDxfId="1419" totalsRowDxfId="1418"/>
    <tableColumn id="4" name="Difference" totalsRowFunction="sum" dataDxfId="1417" totalsRowDxfId="1416">
      <calculatedColumnFormula>Table615[Projected Cost]-Table615[Actual Cost]</calculatedColumnFormula>
    </tableColumn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15" name="Table1116" displayName="Table1116" ref="G45:J49" totalsRowCount="1" headerRowDxfId="1415" dataDxfId="1414" totalsRowDxfId="1412" tableBorderDxfId="1413">
  <autoFilter ref="G45:J48"/>
  <tableColumns count="4">
    <tableColumn id="1" name="GIFTS AND DONATIONS" totalsRowLabel="Total" dataDxfId="1411" totalsRowDxfId="1410"/>
    <tableColumn id="2" name="Projected Cost" totalsRowFunction="sum" dataDxfId="1409" totalsRowDxfId="1408"/>
    <tableColumn id="3" name="Actual Cost" totalsRowFunction="sum" dataDxfId="1407" totalsRowDxfId="1406"/>
    <tableColumn id="4" name="Difference" totalsRowFunction="sum" dataDxfId="1405" totalsRowDxfId="1404">
      <calculatedColumnFormula>Table1116[Projected Cost]-Table1116[Actual Cost]</calculatedColumnFormula>
    </tableColumn>
  </tableColumns>
  <tableStyleInfo name="TableStyleMedium23" showFirstColumn="0" showLastColumn="0" showRowStripes="1" showColumnStripes="0"/>
</table>
</file>

<file path=xl/tables/table16.xml><?xml version="1.0" encoding="utf-8"?>
<table xmlns="http://schemas.openxmlformats.org/spreadsheetml/2006/main" id="16" name="Table517" displayName="Table517" ref="B41:E45" totalsRowCount="1" headerRowDxfId="1403" dataDxfId="1402" totalsRowDxfId="1400" tableBorderDxfId="1401">
  <autoFilter ref="B41:E44"/>
  <tableColumns count="4">
    <tableColumn id="1" name="FOOD" totalsRowLabel="Total" dataDxfId="1399" totalsRowDxfId="1398"/>
    <tableColumn id="2" name="Projected Cost" totalsRowFunction="sum" dataDxfId="1397" totalsRowDxfId="1396"/>
    <tableColumn id="3" name="Actual Cost" totalsRowFunction="sum" dataDxfId="1395" totalsRowDxfId="1394"/>
    <tableColumn id="4" name="Difference" totalsRowFunction="sum" dataDxfId="1393" totalsRowDxfId="1392">
      <calculatedColumnFormula>Table517[Projected Cost]-Table517[Actual Cost]</calculatedColumnFormula>
    </tableColumn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17" name="Table918" displayName="Table918" ref="G32:J37" totalsRowCount="1" headerRowDxfId="1391" dataDxfId="1390" totalsRowDxfId="1388" tableBorderDxfId="1389">
  <autoFilter ref="G32:J36"/>
  <tableColumns count="4">
    <tableColumn id="1" name="Other" totalsRowLabel="Total" dataDxfId="1387" totalsRowDxfId="1386"/>
    <tableColumn id="2" name="Projected Cost" totalsRowFunction="sum" dataDxfId="1385" totalsRowDxfId="1384"/>
    <tableColumn id="3" name="Actual Cost" totalsRowFunction="sum" dataDxfId="1383" totalsRowDxfId="1382"/>
    <tableColumn id="4" name="Difference" totalsRowFunction="sum" dataDxfId="1381" totalsRowDxfId="1380">
      <calculatedColumnFormula>Table918[Projected Cost]-Table918[Actual Cost]</calculatedColumnFormula>
    </tableColumn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18" name="Table319" displayName="Table319" ref="B24:E32" totalsRowCount="1" headerRowDxfId="1379" dataDxfId="1378" totalsRowDxfId="1376" tableBorderDxfId="1377">
  <autoFilter ref="B24:E31"/>
  <tableColumns count="4">
    <tableColumn id="1" name="TRANSPORTATION" totalsRowLabel="Total" dataDxfId="1375" totalsRowDxfId="1374"/>
    <tableColumn id="2" name="Projected Cost" totalsRowFunction="sum" dataDxfId="1373" totalsRowDxfId="1372"/>
    <tableColumn id="3" name="Actual Cost" totalsRowFunction="sum" dataDxfId="1371" totalsRowDxfId="1370"/>
    <tableColumn id="4" name="Difference" totalsRowFunction="sum" dataDxfId="1369" totalsRowDxfId="1368">
      <calculatedColumnFormula>Table319[Projected Cost]-Table319[Actual Cost]</calculatedColumnFormula>
    </tableColumn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id="19" name="Table820" displayName="Table820" ref="G23:J30" totalsRowCount="1" headerRowDxfId="1367" dataDxfId="1366" totalsRowDxfId="1364" tableBorderDxfId="1365">
  <autoFilter ref="G23:J29"/>
  <tableColumns count="4">
    <tableColumn id="1" name="LOANS" totalsRowLabel="Total" dataDxfId="1363" totalsRowDxfId="1362"/>
    <tableColumn id="2" name="Projected Cost" totalsRowFunction="sum" dataDxfId="1361" totalsRowDxfId="1360"/>
    <tableColumn id="3" name="Actual Cost" totalsRowFunction="sum" dataDxfId="1359" totalsRowDxfId="1358"/>
    <tableColumn id="4" name="Difference" totalsRowFunction="sum" dataDxfId="1357" totalsRowDxfId="1356">
      <calculatedColumnFormula>Table820[Projected Cost]-Table820[Actual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 headerRowDxfId="1571" dataDxfId="1570" totalsRowDxfId="1568" tableBorderDxfId="1569">
  <autoFilter ref="B34:E38"/>
  <tableColumns count="4">
    <tableColumn id="1" name="INSURANCE" totalsRowLabel="Total" dataDxfId="1567" totalsRowDxfId="1566"/>
    <tableColumn id="2" name="Projected Cost" totalsRowFunction="sum" dataDxfId="1565" totalsRowDxfId="1564"/>
    <tableColumn id="3" name="Actual Cost" totalsRowFunction="sum" dataDxfId="1563" totalsRowDxfId="1562"/>
    <tableColumn id="4" name="Difference" totalsRowFunction="sum" dataDxfId="1561" totalsRowDxfId="1560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20.xml><?xml version="1.0" encoding="utf-8"?>
<table xmlns="http://schemas.openxmlformats.org/spreadsheetml/2006/main" id="20" name="Table1021" displayName="Table1021" ref="G39:J43" totalsRowCount="1" headerRowDxfId="1355" dataDxfId="1354" totalsRowDxfId="1352" tableBorderDxfId="1353">
  <autoFilter ref="G39:J42"/>
  <tableColumns count="4">
    <tableColumn id="1" name="SAVINGS OR INVESTMENTS" totalsRowLabel="Total" dataDxfId="1351" totalsRowDxfId="1350"/>
    <tableColumn id="2" name="Projected Cost" totalsRowFunction="sum" dataDxfId="1349" totalsRowDxfId="1348"/>
    <tableColumn id="3" name="Actual Cost" totalsRowFunction="sum" dataDxfId="1347" totalsRowDxfId="1346"/>
    <tableColumn id="4" name="Difference" totalsRowFunction="sum" dataDxfId="1345" totalsRowDxfId="1344">
      <calculatedColumnFormula>Table1021[Projected Cost]-Table1021[Actual Cost]</calculatedColumnFormula>
    </tableColumn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id="21" name="Table722" displayName="Table722" ref="B55:E63" totalsRowCount="1" headerRowDxfId="1343" dataDxfId="1342" totalsRowDxfId="1340" tableBorderDxfId="1341">
  <autoFilter ref="B55:E62"/>
  <tableColumns count="4">
    <tableColumn id="1" name="PERSONAL CARE" totalsRowLabel="Total" dataDxfId="1339" totalsRowDxfId="1338"/>
    <tableColumn id="2" name="Projected Cost" totalsRowFunction="sum" dataDxfId="1337" totalsRowDxfId="1336"/>
    <tableColumn id="3" name="Actual Cost" totalsRowFunction="sum" dataDxfId="1335" totalsRowDxfId="1334"/>
    <tableColumn id="4" name="Difference" totalsRowFunction="sum" dataDxfId="1333" totalsRowDxfId="1332">
      <calculatedColumnFormula>Table722[Projected Cost]-Table722[Actual Cost]</calculatedColumnFormula>
    </tableColumn>
  </tableColumns>
  <tableStyleInfo name="TableStyleMedium23" showFirstColumn="0" showLastColumn="0" showRowStripes="1" showColumnStripes="0"/>
</table>
</file>

<file path=xl/tables/table22.xml><?xml version="1.0" encoding="utf-8"?>
<table xmlns="http://schemas.openxmlformats.org/spreadsheetml/2006/main" id="22" name="Table223" displayName="Table223" ref="G11:J21" totalsRowCount="1" headerRowDxfId="1331" dataDxfId="1330" totalsRowDxfId="1328" tableBorderDxfId="1329">
  <autoFilter ref="G11:J20"/>
  <tableColumns count="4">
    <tableColumn id="1" name="ENTERTAINMENT" totalsRowLabel="Total" dataDxfId="1327" totalsRowDxfId="1326"/>
    <tableColumn id="2" name="Projected Cost" totalsRowFunction="sum" dataDxfId="1325" totalsRowDxfId="1324"/>
    <tableColumn id="3" name="Actual Cost" totalsRowFunction="sum" dataDxfId="1323" totalsRowDxfId="1322"/>
    <tableColumn id="4" name="Difference" totalsRowFunction="sum" dataDxfId="1321" totalsRowDxfId="1320">
      <calculatedColumnFormula>Table223[Projected Cost]-Table223[Actual Cost]</calculatedColumnFormula>
    </tableColumn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id="23" name="Table124" displayName="Table124" ref="B11:E22" totalsRowCount="1" headerRowDxfId="1319" dataDxfId="1318" totalsRowDxfId="1316" tableBorderDxfId="1317">
  <autoFilter ref="B11:E21"/>
  <tableColumns count="4">
    <tableColumn id="1" name="HOUSING" totalsRowLabel="Total" dataDxfId="1315" totalsRowDxfId="1314"/>
    <tableColumn id="2" name="Projected Cost" totalsRowFunction="sum" dataDxfId="1313" totalsRowDxfId="1312"/>
    <tableColumn id="3" name="Actual Cost" totalsRowFunction="sum" dataDxfId="1311" totalsRowDxfId="1310"/>
    <tableColumn id="4" name="Difference" totalsRowFunction="sum" dataDxfId="1309" totalsRowDxfId="1308">
      <calculatedColumnFormula>Table124[Projected Cost]-Table124[Actual Cost]</calculatedColumnFormula>
    </tableColumn>
  </tableColumns>
  <tableStyleInfo name="TableStyleMedium23" showFirstColumn="0" showLastColumn="0" showRowStripes="1" showColumnStripes="0"/>
</table>
</file>

<file path=xl/tables/table24.xml><?xml version="1.0" encoding="utf-8"?>
<table xmlns="http://schemas.openxmlformats.org/spreadsheetml/2006/main" id="24" name="Table425" displayName="Table425" ref="B34:E39" totalsRowCount="1" headerRowDxfId="1307" dataDxfId="1306" totalsRowDxfId="1304" tableBorderDxfId="1305">
  <autoFilter ref="B34:E38"/>
  <tableColumns count="4">
    <tableColumn id="1" name="INSURANCE" totalsRowLabel="Total" dataDxfId="1303" totalsRowDxfId="1302"/>
    <tableColumn id="2" name="Projected Cost" totalsRowFunction="sum" dataDxfId="1301" totalsRowDxfId="1300"/>
    <tableColumn id="3" name="Actual Cost" totalsRowFunction="sum" dataDxfId="1299" totalsRowDxfId="1298"/>
    <tableColumn id="4" name="Difference" totalsRowFunction="sum" dataDxfId="1297" totalsRowDxfId="1296">
      <calculatedColumnFormula>Table425[Projected Cost]-Table425[Actual Cost]</calculatedColumnFormula>
    </tableColumn>
  </tableColumns>
  <tableStyleInfo name="TableStyleMedium23" showFirstColumn="0" showLastColumn="0" showRowStripes="1" showColumnStripes="0"/>
</table>
</file>

<file path=xl/tables/table25.xml><?xml version="1.0" encoding="utf-8"?>
<table xmlns="http://schemas.openxmlformats.org/spreadsheetml/2006/main" id="25" name="Table626" displayName="Table626" ref="B47:E53" totalsRowCount="1" headerRowDxfId="1295" dataDxfId="1294" totalsRowDxfId="1292" tableBorderDxfId="1293">
  <autoFilter ref="B47:E52"/>
  <tableColumns count="4">
    <tableColumn id="1" name="PETS" totalsRowLabel="Total" dataDxfId="1291" totalsRowDxfId="1290"/>
    <tableColumn id="2" name="Projected Cost" totalsRowFunction="sum" dataDxfId="1289" totalsRowDxfId="1288"/>
    <tableColumn id="3" name="Actual Cost" totalsRowFunction="sum" dataDxfId="1287" totalsRowDxfId="1286"/>
    <tableColumn id="4" name="Difference" totalsRowFunction="sum" dataDxfId="1285" totalsRowDxfId="1284">
      <calculatedColumnFormula>Table626[Projected Cost]-Table626[Actual Cost]</calculatedColumnFormula>
    </tableColumn>
  </tableColumns>
  <tableStyleInfo name="TableStyleMedium23" showFirstColumn="0" showLastColumn="0" showRowStripes="1" showColumnStripes="0"/>
</table>
</file>

<file path=xl/tables/table26.xml><?xml version="1.0" encoding="utf-8"?>
<table xmlns="http://schemas.openxmlformats.org/spreadsheetml/2006/main" id="26" name="Table1127" displayName="Table1127" ref="G45:J49" totalsRowCount="1" headerRowDxfId="1283" dataDxfId="1282" totalsRowDxfId="1280" tableBorderDxfId="1281">
  <autoFilter ref="G45:J48"/>
  <tableColumns count="4">
    <tableColumn id="1" name="GIFTS AND DONATIONS" totalsRowLabel="Total" dataDxfId="1279" totalsRowDxfId="1278"/>
    <tableColumn id="2" name="Projected Cost" totalsRowFunction="sum" dataDxfId="1277" totalsRowDxfId="1276"/>
    <tableColumn id="3" name="Actual Cost" totalsRowFunction="sum" dataDxfId="1275" totalsRowDxfId="1274"/>
    <tableColumn id="4" name="Difference" totalsRowFunction="sum" dataDxfId="1273" totalsRowDxfId="1272">
      <calculatedColumnFormula>Table1127[Projected Cost]-Table1127[Actual Cost]</calculatedColumnFormula>
    </tableColumn>
  </tableColumns>
  <tableStyleInfo name="TableStyleMedium23" showFirstColumn="0" showLastColumn="0" showRowStripes="1" showColumnStripes="0"/>
</table>
</file>

<file path=xl/tables/table27.xml><?xml version="1.0" encoding="utf-8"?>
<table xmlns="http://schemas.openxmlformats.org/spreadsheetml/2006/main" id="27" name="Table528" displayName="Table528" ref="B41:E45" totalsRowCount="1" headerRowDxfId="1271" dataDxfId="1270" totalsRowDxfId="1268" tableBorderDxfId="1269">
  <autoFilter ref="B41:E44"/>
  <tableColumns count="4">
    <tableColumn id="1" name="FOOD" totalsRowLabel="Total" dataDxfId="1267" totalsRowDxfId="1266"/>
    <tableColumn id="2" name="Projected Cost" totalsRowFunction="sum" dataDxfId="1265" totalsRowDxfId="1264"/>
    <tableColumn id="3" name="Actual Cost" totalsRowFunction="sum" dataDxfId="1263" totalsRowDxfId="1262"/>
    <tableColumn id="4" name="Difference" totalsRowFunction="sum" dataDxfId="1261" totalsRowDxfId="1260">
      <calculatedColumnFormula>Table528[Projected Cost]-Table528[Actual Cost]</calculatedColumnFormula>
    </tableColumn>
  </tableColumns>
  <tableStyleInfo name="TableStyleMedium23" showFirstColumn="0" showLastColumn="0" showRowStripes="1" showColumnStripes="0"/>
</table>
</file>

<file path=xl/tables/table28.xml><?xml version="1.0" encoding="utf-8"?>
<table xmlns="http://schemas.openxmlformats.org/spreadsheetml/2006/main" id="28" name="Table929" displayName="Table929" ref="G32:J37" totalsRowCount="1" headerRowDxfId="1259" dataDxfId="1258" totalsRowDxfId="1256" tableBorderDxfId="1257">
  <autoFilter ref="G32:J36"/>
  <tableColumns count="4">
    <tableColumn id="1" name="Other" totalsRowLabel="Total" dataDxfId="1255" totalsRowDxfId="1254"/>
    <tableColumn id="2" name="Projected Cost" totalsRowFunction="sum" dataDxfId="1253" totalsRowDxfId="1252"/>
    <tableColumn id="3" name="Actual Cost" totalsRowFunction="sum" dataDxfId="1251" totalsRowDxfId="1250"/>
    <tableColumn id="4" name="Difference" totalsRowFunction="sum" dataDxfId="1249" totalsRowDxfId="1248">
      <calculatedColumnFormula>Table929[Projected Cost]-Table929[Actual Cost]</calculatedColumnFormula>
    </tableColumn>
  </tableColumns>
  <tableStyleInfo name="TableStyleMedium23" showFirstColumn="0" showLastColumn="0" showRowStripes="1" showColumnStripes="0"/>
</table>
</file>

<file path=xl/tables/table29.xml><?xml version="1.0" encoding="utf-8"?>
<table xmlns="http://schemas.openxmlformats.org/spreadsheetml/2006/main" id="29" name="Table330" displayName="Table330" ref="B24:E32" totalsRowCount="1" headerRowDxfId="1247" dataDxfId="1246" totalsRowDxfId="1244" tableBorderDxfId="1245">
  <autoFilter ref="B24:E31"/>
  <tableColumns count="4">
    <tableColumn id="1" name="TRANSPORTATION" totalsRowLabel="Total" dataDxfId="1243" totalsRowDxfId="1242"/>
    <tableColumn id="2" name="Projected Cost" totalsRowFunction="sum" dataDxfId="1241" totalsRowDxfId="1240"/>
    <tableColumn id="3" name="Actual Cost" totalsRowFunction="sum" dataDxfId="1239" totalsRowDxfId="1238"/>
    <tableColumn id="4" name="Difference" totalsRowFunction="sum" dataDxfId="1237" totalsRowDxfId="1236">
      <calculatedColumnFormula>Table330[Projected Cost]-Table330[Actual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B47:E53" totalsRowCount="1" headerRowDxfId="1559" dataDxfId="1558" totalsRowDxfId="1556" tableBorderDxfId="1557">
  <autoFilter ref="B47:E52"/>
  <tableColumns count="4">
    <tableColumn id="1" name="PETS" totalsRowLabel="Total" dataDxfId="1555" totalsRowDxfId="1554"/>
    <tableColumn id="2" name="Projected Cost" totalsRowFunction="sum" dataDxfId="1553" totalsRowDxfId="1552"/>
    <tableColumn id="3" name="Actual Cost" totalsRowFunction="sum" dataDxfId="1551" totalsRowDxfId="1550"/>
    <tableColumn id="4" name="Difference" totalsRowFunction="sum" dataDxfId="1549" totalsRowDxfId="1548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30.xml><?xml version="1.0" encoding="utf-8"?>
<table xmlns="http://schemas.openxmlformats.org/spreadsheetml/2006/main" id="30" name="Table831" displayName="Table831" ref="G23:J30" totalsRowCount="1" headerRowDxfId="1235" dataDxfId="1234" totalsRowDxfId="1232" tableBorderDxfId="1233">
  <autoFilter ref="G23:J29"/>
  <tableColumns count="4">
    <tableColumn id="1" name="LOANS" totalsRowLabel="Total" dataDxfId="1231" totalsRowDxfId="1230"/>
    <tableColumn id="2" name="Projected Cost" totalsRowFunction="sum" dataDxfId="1229" totalsRowDxfId="1228"/>
    <tableColumn id="3" name="Actual Cost" totalsRowFunction="sum" dataDxfId="1227" totalsRowDxfId="1226"/>
    <tableColumn id="4" name="Difference" totalsRowFunction="sum" dataDxfId="1225" totalsRowDxfId="1224">
      <calculatedColumnFormula>Table831[Projected Cost]-Table831[Actual Cost]</calculatedColumnFormula>
    </tableColumn>
  </tableColumns>
  <tableStyleInfo name="TableStyleMedium23" showFirstColumn="0" showLastColumn="0" showRowStripes="1" showColumnStripes="0"/>
</table>
</file>

<file path=xl/tables/table31.xml><?xml version="1.0" encoding="utf-8"?>
<table xmlns="http://schemas.openxmlformats.org/spreadsheetml/2006/main" id="31" name="Table1032" displayName="Table1032" ref="G39:J43" totalsRowCount="1" headerRowDxfId="1223" dataDxfId="1222" totalsRowDxfId="1220" tableBorderDxfId="1221">
  <autoFilter ref="G39:J42"/>
  <tableColumns count="4">
    <tableColumn id="1" name="SAVINGS OR INVESTMENTS" totalsRowLabel="Total" dataDxfId="1219" totalsRowDxfId="1218"/>
    <tableColumn id="2" name="Projected Cost" totalsRowFunction="sum" dataDxfId="1217" totalsRowDxfId="1216"/>
    <tableColumn id="3" name="Actual Cost" totalsRowFunction="sum" dataDxfId="1215" totalsRowDxfId="1214"/>
    <tableColumn id="4" name="Difference" totalsRowFunction="sum" dataDxfId="1213" totalsRowDxfId="1212">
      <calculatedColumnFormula>Table1032[Projected Cost]-Table1032[Actual Cost]</calculatedColumnFormula>
    </tableColumn>
  </tableColumns>
  <tableStyleInfo name="TableStyleMedium23" showFirstColumn="0" showLastColumn="0" showRowStripes="1" showColumnStripes="0"/>
</table>
</file>

<file path=xl/tables/table32.xml><?xml version="1.0" encoding="utf-8"?>
<table xmlns="http://schemas.openxmlformats.org/spreadsheetml/2006/main" id="32" name="Table733" displayName="Table733" ref="B55:E63" totalsRowCount="1" headerRowDxfId="1211" dataDxfId="1210" totalsRowDxfId="1208" tableBorderDxfId="1209">
  <autoFilter ref="B55:E62"/>
  <tableColumns count="4">
    <tableColumn id="1" name="PERSONAL CARE" totalsRowLabel="Total" dataDxfId="1207" totalsRowDxfId="1206"/>
    <tableColumn id="2" name="Projected Cost" totalsRowFunction="sum" dataDxfId="1205" totalsRowDxfId="1204"/>
    <tableColumn id="3" name="Actual Cost" totalsRowFunction="sum" dataDxfId="1203" totalsRowDxfId="1202"/>
    <tableColumn id="4" name="Difference" totalsRowFunction="sum" dataDxfId="1201" totalsRowDxfId="1200">
      <calculatedColumnFormula>Table733[Projected Cost]-Table733[Actual Cost]</calculatedColumnFormula>
    </tableColumn>
  </tableColumns>
  <tableStyleInfo name="TableStyleMedium23" showFirstColumn="0" showLastColumn="0" showRowStripes="1" showColumnStripes="0"/>
</table>
</file>

<file path=xl/tables/table33.xml><?xml version="1.0" encoding="utf-8"?>
<table xmlns="http://schemas.openxmlformats.org/spreadsheetml/2006/main" id="33" name="Table234" displayName="Table234" ref="G11:J21" totalsRowCount="1" headerRowDxfId="1199" dataDxfId="1198" totalsRowDxfId="1196" tableBorderDxfId="1197">
  <autoFilter ref="G11:J20"/>
  <tableColumns count="4">
    <tableColumn id="1" name="ENTERTAINMENT" totalsRowLabel="Total" dataDxfId="1195" totalsRowDxfId="1194"/>
    <tableColumn id="2" name="Projected Cost" totalsRowFunction="sum" dataDxfId="1193" totalsRowDxfId="1192"/>
    <tableColumn id="3" name="Actual Cost" totalsRowFunction="sum" dataDxfId="1191" totalsRowDxfId="1190"/>
    <tableColumn id="4" name="Difference" totalsRowFunction="sum" dataDxfId="1189" totalsRowDxfId="1188">
      <calculatedColumnFormula>Table234[Projected Cost]-Table234[Actual Cost]</calculatedColumnFormula>
    </tableColumn>
  </tableColumns>
  <tableStyleInfo name="TableStyleMedium23" showFirstColumn="0" showLastColumn="0" showRowStripes="1" showColumnStripes="0"/>
</table>
</file>

<file path=xl/tables/table34.xml><?xml version="1.0" encoding="utf-8"?>
<table xmlns="http://schemas.openxmlformats.org/spreadsheetml/2006/main" id="34" name="Table135" displayName="Table135" ref="B11:E22" totalsRowCount="1" headerRowDxfId="1187" dataDxfId="1186" totalsRowDxfId="1184" tableBorderDxfId="1185">
  <autoFilter ref="B11:E21"/>
  <tableColumns count="4">
    <tableColumn id="1" name="HOUSING" totalsRowLabel="Total" dataDxfId="1183" totalsRowDxfId="1182"/>
    <tableColumn id="2" name="Projected Cost" totalsRowFunction="sum" dataDxfId="1181" totalsRowDxfId="1180"/>
    <tableColumn id="3" name="Actual Cost" totalsRowFunction="sum" dataDxfId="1179" totalsRowDxfId="1178"/>
    <tableColumn id="4" name="Difference" totalsRowFunction="sum" dataDxfId="1177" totalsRowDxfId="1176">
      <calculatedColumnFormula>Table135[Projected Cost]-Table135[Actual Cost]</calculatedColumnFormula>
    </tableColumn>
  </tableColumns>
  <tableStyleInfo name="TableStyleMedium23" showFirstColumn="0" showLastColumn="0" showRowStripes="1" showColumnStripes="0"/>
</table>
</file>

<file path=xl/tables/table35.xml><?xml version="1.0" encoding="utf-8"?>
<table xmlns="http://schemas.openxmlformats.org/spreadsheetml/2006/main" id="35" name="Table436" displayName="Table436" ref="B34:E39" totalsRowCount="1" headerRowDxfId="1175" dataDxfId="1174" totalsRowDxfId="1172" tableBorderDxfId="1173">
  <autoFilter ref="B34:E38"/>
  <tableColumns count="4">
    <tableColumn id="1" name="INSURANCE" totalsRowLabel="Total" dataDxfId="1171" totalsRowDxfId="1170"/>
    <tableColumn id="2" name="Projected Cost" totalsRowFunction="sum" dataDxfId="1169" totalsRowDxfId="1168"/>
    <tableColumn id="3" name="Actual Cost" totalsRowFunction="sum" dataDxfId="1167" totalsRowDxfId="1166"/>
    <tableColumn id="4" name="Difference" totalsRowFunction="sum" dataDxfId="1165" totalsRowDxfId="1164">
      <calculatedColumnFormula>Table436[Projected Cost]-Table436[Actual Cost]</calculatedColumnFormula>
    </tableColumn>
  </tableColumns>
  <tableStyleInfo name="TableStyleMedium23" showFirstColumn="0" showLastColumn="0" showRowStripes="1" showColumnStripes="0"/>
</table>
</file>

<file path=xl/tables/table36.xml><?xml version="1.0" encoding="utf-8"?>
<table xmlns="http://schemas.openxmlformats.org/spreadsheetml/2006/main" id="36" name="Table637" displayName="Table637" ref="B47:E53" totalsRowCount="1" headerRowDxfId="1163" dataDxfId="1162" totalsRowDxfId="1160" tableBorderDxfId="1161">
  <autoFilter ref="B47:E52"/>
  <tableColumns count="4">
    <tableColumn id="1" name="PETS" totalsRowLabel="Total" dataDxfId="1159" totalsRowDxfId="1158"/>
    <tableColumn id="2" name="Projected Cost" totalsRowFunction="sum" dataDxfId="1157" totalsRowDxfId="1156"/>
    <tableColumn id="3" name="Actual Cost" totalsRowFunction="sum" dataDxfId="1155" totalsRowDxfId="1154"/>
    <tableColumn id="4" name="Difference" totalsRowFunction="sum" dataDxfId="1153" totalsRowDxfId="1152">
      <calculatedColumnFormula>Table637[Projected Cost]-Table637[Actual Cost]</calculatedColumnFormula>
    </tableColumn>
  </tableColumns>
  <tableStyleInfo name="TableStyleMedium23" showFirstColumn="0" showLastColumn="0" showRowStripes="1" showColumnStripes="0"/>
</table>
</file>

<file path=xl/tables/table37.xml><?xml version="1.0" encoding="utf-8"?>
<table xmlns="http://schemas.openxmlformats.org/spreadsheetml/2006/main" id="37" name="Table1138" displayName="Table1138" ref="G45:J49" totalsRowCount="1" headerRowDxfId="1151" dataDxfId="1150" totalsRowDxfId="1148" tableBorderDxfId="1149">
  <autoFilter ref="G45:J48"/>
  <tableColumns count="4">
    <tableColumn id="1" name="GIFTS AND DONATIONS" totalsRowLabel="Total" dataDxfId="1147" totalsRowDxfId="1146"/>
    <tableColumn id="2" name="Projected Cost" totalsRowFunction="sum" dataDxfId="1145" totalsRowDxfId="1144"/>
    <tableColumn id="3" name="Actual Cost" totalsRowFunction="sum" dataDxfId="1143" totalsRowDxfId="1142"/>
    <tableColumn id="4" name="Difference" totalsRowFunction="sum" dataDxfId="1141" totalsRowDxfId="1140">
      <calculatedColumnFormula>Table1138[Projected Cost]-Table1138[Actual Cost]</calculatedColumnFormula>
    </tableColumn>
  </tableColumns>
  <tableStyleInfo name="TableStyleMedium23" showFirstColumn="0" showLastColumn="0" showRowStripes="1" showColumnStripes="0"/>
</table>
</file>

<file path=xl/tables/table38.xml><?xml version="1.0" encoding="utf-8"?>
<table xmlns="http://schemas.openxmlformats.org/spreadsheetml/2006/main" id="38" name="Table539" displayName="Table539" ref="B41:E45" totalsRowCount="1" headerRowDxfId="1139" dataDxfId="1138" totalsRowDxfId="1136" tableBorderDxfId="1137">
  <autoFilter ref="B41:E44"/>
  <tableColumns count="4">
    <tableColumn id="1" name="FOOD" totalsRowLabel="Total" dataDxfId="1135" totalsRowDxfId="1134"/>
    <tableColumn id="2" name="Projected Cost" totalsRowFunction="sum" dataDxfId="1133" totalsRowDxfId="1132"/>
    <tableColumn id="3" name="Actual Cost" totalsRowFunction="sum" dataDxfId="1131" totalsRowDxfId="1130"/>
    <tableColumn id="4" name="Difference" totalsRowFunction="sum" dataDxfId="1129" totalsRowDxfId="1128">
      <calculatedColumnFormula>Table539[Projected Cost]-Table539[Actual Cost]</calculatedColumnFormula>
    </tableColumn>
  </tableColumns>
  <tableStyleInfo name="TableStyleMedium23" showFirstColumn="0" showLastColumn="0" showRowStripes="1" showColumnStripes="0"/>
</table>
</file>

<file path=xl/tables/table39.xml><?xml version="1.0" encoding="utf-8"?>
<table xmlns="http://schemas.openxmlformats.org/spreadsheetml/2006/main" id="39" name="Table940" displayName="Table940" ref="G32:J37" totalsRowCount="1" headerRowDxfId="1127" dataDxfId="1126" totalsRowDxfId="1124" tableBorderDxfId="1125">
  <autoFilter ref="G32:J36"/>
  <tableColumns count="4">
    <tableColumn id="1" name="Other" totalsRowLabel="Total" dataDxfId="1123" totalsRowDxfId="1122"/>
    <tableColumn id="2" name="Projected Cost" totalsRowFunction="sum" dataDxfId="1121" totalsRowDxfId="1120"/>
    <tableColumn id="3" name="Actual Cost" totalsRowFunction="sum" dataDxfId="1119" totalsRowDxfId="1118"/>
    <tableColumn id="4" name="Difference" totalsRowFunction="sum" dataDxfId="1117" totalsRowDxfId="1116">
      <calculatedColumnFormula>Table940[Projected Cost]-Table940[Actual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G45:J49" totalsRowCount="1" headerRowDxfId="1547" dataDxfId="1546" totalsRowDxfId="1544" tableBorderDxfId="1545">
  <autoFilter ref="G45:J48"/>
  <tableColumns count="4">
    <tableColumn id="1" name="GIFTS AND DONATIONS" totalsRowLabel="Total" dataDxfId="1543" totalsRowDxfId="1542"/>
    <tableColumn id="2" name="Projected Cost" totalsRowFunction="sum" dataDxfId="1541" totalsRowDxfId="1540"/>
    <tableColumn id="3" name="Actual Cost" totalsRowFunction="sum" dataDxfId="1539" totalsRowDxfId="1538"/>
    <tableColumn id="4" name="Difference" totalsRowFunction="sum" dataDxfId="1537" totalsRowDxfId="1536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40.xml><?xml version="1.0" encoding="utf-8"?>
<table xmlns="http://schemas.openxmlformats.org/spreadsheetml/2006/main" id="40" name="Table341" displayName="Table341" ref="B24:E32" totalsRowCount="1" headerRowDxfId="1115" dataDxfId="1114" totalsRowDxfId="1112" tableBorderDxfId="1113">
  <autoFilter ref="B24:E31"/>
  <tableColumns count="4">
    <tableColumn id="1" name="TRANSPORTATION" totalsRowLabel="Total" dataDxfId="1111" totalsRowDxfId="1110"/>
    <tableColumn id="2" name="Projected Cost" totalsRowFunction="sum" dataDxfId="1109" totalsRowDxfId="1108"/>
    <tableColumn id="3" name="Actual Cost" totalsRowFunction="sum" dataDxfId="1107" totalsRowDxfId="1106"/>
    <tableColumn id="4" name="Difference" totalsRowFunction="sum" dataDxfId="1105" totalsRowDxfId="1104">
      <calculatedColumnFormula>Table341[Projected Cost]-Table341[Actual Cost]</calculatedColumnFormula>
    </tableColumn>
  </tableColumns>
  <tableStyleInfo name="TableStyleMedium23" showFirstColumn="0" showLastColumn="0" showRowStripes="1" showColumnStripes="0"/>
</table>
</file>

<file path=xl/tables/table41.xml><?xml version="1.0" encoding="utf-8"?>
<table xmlns="http://schemas.openxmlformats.org/spreadsheetml/2006/main" id="41" name="Table842" displayName="Table842" ref="G23:J30" totalsRowCount="1" headerRowDxfId="1103" dataDxfId="1102" totalsRowDxfId="1100" tableBorderDxfId="1101">
  <autoFilter ref="G23:J29"/>
  <tableColumns count="4">
    <tableColumn id="1" name="LOANS" totalsRowLabel="Total" dataDxfId="1099" totalsRowDxfId="1098"/>
    <tableColumn id="2" name="Projected Cost" totalsRowFunction="sum" dataDxfId="1097" totalsRowDxfId="1096"/>
    <tableColumn id="3" name="Actual Cost" totalsRowFunction="sum" dataDxfId="1095" totalsRowDxfId="1094"/>
    <tableColumn id="4" name="Difference" totalsRowFunction="sum" dataDxfId="1093" totalsRowDxfId="1092">
      <calculatedColumnFormula>Table842[Projected Cost]-Table842[Actual Cost]</calculatedColumnFormula>
    </tableColumn>
  </tableColumns>
  <tableStyleInfo name="TableStyleMedium23" showFirstColumn="0" showLastColumn="0" showRowStripes="1" showColumnStripes="0"/>
</table>
</file>

<file path=xl/tables/table42.xml><?xml version="1.0" encoding="utf-8"?>
<table xmlns="http://schemas.openxmlformats.org/spreadsheetml/2006/main" id="42" name="Table1043" displayName="Table1043" ref="G39:J43" totalsRowCount="1" headerRowDxfId="1091" dataDxfId="1090" totalsRowDxfId="1088" tableBorderDxfId="1089">
  <autoFilter ref="G39:J42"/>
  <tableColumns count="4">
    <tableColumn id="1" name="SAVINGS OR INVESTMENTS" totalsRowLabel="Total" dataDxfId="1087" totalsRowDxfId="1086"/>
    <tableColumn id="2" name="Projected Cost" totalsRowFunction="sum" dataDxfId="1085" totalsRowDxfId="1084"/>
    <tableColumn id="3" name="Actual Cost" totalsRowFunction="sum" dataDxfId="1083" totalsRowDxfId="1082"/>
    <tableColumn id="4" name="Difference" totalsRowFunction="sum" dataDxfId="1081" totalsRowDxfId="1080">
      <calculatedColumnFormula>Table1043[Projected Cost]-Table1043[Actual Cost]</calculatedColumnFormula>
    </tableColumn>
  </tableColumns>
  <tableStyleInfo name="TableStyleMedium23" showFirstColumn="0" showLastColumn="0" showRowStripes="1" showColumnStripes="0"/>
</table>
</file>

<file path=xl/tables/table43.xml><?xml version="1.0" encoding="utf-8"?>
<table xmlns="http://schemas.openxmlformats.org/spreadsheetml/2006/main" id="43" name="Table744" displayName="Table744" ref="B55:E63" totalsRowCount="1" headerRowDxfId="1079" dataDxfId="1078" totalsRowDxfId="1076" tableBorderDxfId="1077">
  <autoFilter ref="B55:E62"/>
  <tableColumns count="4">
    <tableColumn id="1" name="PERSONAL CARE" totalsRowLabel="Total" dataDxfId="1075" totalsRowDxfId="1074"/>
    <tableColumn id="2" name="Projected Cost" totalsRowFunction="sum" dataDxfId="1073" totalsRowDxfId="1072"/>
    <tableColumn id="3" name="Actual Cost" totalsRowFunction="sum" dataDxfId="1071" totalsRowDxfId="1070"/>
    <tableColumn id="4" name="Difference" totalsRowFunction="sum" dataDxfId="1069" totalsRowDxfId="1068">
      <calculatedColumnFormula>Table744[Projected Cost]-Table744[Actual Cost]</calculatedColumnFormula>
    </tableColumn>
  </tableColumns>
  <tableStyleInfo name="TableStyleMedium23" showFirstColumn="0" showLastColumn="0" showRowStripes="1" showColumnStripes="0"/>
</table>
</file>

<file path=xl/tables/table44.xml><?xml version="1.0" encoding="utf-8"?>
<table xmlns="http://schemas.openxmlformats.org/spreadsheetml/2006/main" id="44" name="Table245" displayName="Table245" ref="G11:J21" totalsRowCount="1" headerRowDxfId="1067" dataDxfId="1066" totalsRowDxfId="1064" tableBorderDxfId="1065">
  <autoFilter ref="G11:J20"/>
  <tableColumns count="4">
    <tableColumn id="1" name="ENTERTAINMENT" totalsRowLabel="Total" dataDxfId="1063" totalsRowDxfId="1062"/>
    <tableColumn id="2" name="Projected Cost" totalsRowFunction="sum" dataDxfId="1061" totalsRowDxfId="1060"/>
    <tableColumn id="3" name="Actual Cost" totalsRowFunction="sum" dataDxfId="1059" totalsRowDxfId="1058"/>
    <tableColumn id="4" name="Difference" totalsRowFunction="sum" dataDxfId="1057" totalsRowDxfId="1056">
      <calculatedColumnFormula>Table245[Projected Cost]-Table245[Actual Cost]</calculatedColumnFormula>
    </tableColumn>
  </tableColumns>
  <tableStyleInfo name="TableStyleMedium23" showFirstColumn="0" showLastColumn="0" showRowStripes="1" showColumnStripes="0"/>
</table>
</file>

<file path=xl/tables/table45.xml><?xml version="1.0" encoding="utf-8"?>
<table xmlns="http://schemas.openxmlformats.org/spreadsheetml/2006/main" id="45" name="Table146" displayName="Table146" ref="B11:E22" totalsRowCount="1" headerRowDxfId="1055" dataDxfId="1054" totalsRowDxfId="1052" tableBorderDxfId="1053">
  <autoFilter ref="B11:E21"/>
  <tableColumns count="4">
    <tableColumn id="1" name="HOUSING" totalsRowLabel="Total" dataDxfId="1051" totalsRowDxfId="1050"/>
    <tableColumn id="2" name="Projected Cost" totalsRowFunction="sum" dataDxfId="1049" totalsRowDxfId="1048"/>
    <tableColumn id="3" name="Actual Cost" totalsRowFunction="sum" dataDxfId="1047" totalsRowDxfId="1046"/>
    <tableColumn id="4" name="Difference" totalsRowFunction="sum" dataDxfId="1045" totalsRowDxfId="1044">
      <calculatedColumnFormula>Table146[Projected Cost]-Table146[Actual Cost]</calculatedColumnFormula>
    </tableColumn>
  </tableColumns>
  <tableStyleInfo name="TableStyleMedium23" showFirstColumn="0" showLastColumn="0" showRowStripes="1" showColumnStripes="0"/>
</table>
</file>

<file path=xl/tables/table46.xml><?xml version="1.0" encoding="utf-8"?>
<table xmlns="http://schemas.openxmlformats.org/spreadsheetml/2006/main" id="46" name="Table447" displayName="Table447" ref="B34:E39" totalsRowCount="1" headerRowDxfId="1043" dataDxfId="1042" totalsRowDxfId="1040" tableBorderDxfId="1041">
  <autoFilter ref="B34:E38"/>
  <tableColumns count="4">
    <tableColumn id="1" name="INSURANCE" totalsRowLabel="Total" dataDxfId="1039" totalsRowDxfId="1038"/>
    <tableColumn id="2" name="Projected Cost" totalsRowFunction="sum" dataDxfId="1037" totalsRowDxfId="1036"/>
    <tableColumn id="3" name="Actual Cost" totalsRowFunction="sum" dataDxfId="1035" totalsRowDxfId="1034"/>
    <tableColumn id="4" name="Difference" totalsRowFunction="sum" dataDxfId="1033" totalsRowDxfId="1032">
      <calculatedColumnFormula>Table447[Projected Cost]-Table447[Actual Cost]</calculatedColumnFormula>
    </tableColumn>
  </tableColumns>
  <tableStyleInfo name="TableStyleMedium23" showFirstColumn="0" showLastColumn="0" showRowStripes="1" showColumnStripes="0"/>
</table>
</file>

<file path=xl/tables/table47.xml><?xml version="1.0" encoding="utf-8"?>
<table xmlns="http://schemas.openxmlformats.org/spreadsheetml/2006/main" id="47" name="Table648" displayName="Table648" ref="B47:E53" totalsRowCount="1" headerRowDxfId="1031" dataDxfId="1030" totalsRowDxfId="1028" tableBorderDxfId="1029">
  <autoFilter ref="B47:E52"/>
  <tableColumns count="4">
    <tableColumn id="1" name="PETS" totalsRowLabel="Total" dataDxfId="1027" totalsRowDxfId="1026"/>
    <tableColumn id="2" name="Projected Cost" totalsRowFunction="sum" dataDxfId="1025" totalsRowDxfId="1024"/>
    <tableColumn id="3" name="Actual Cost" totalsRowFunction="sum" dataDxfId="1023" totalsRowDxfId="1022"/>
    <tableColumn id="4" name="Difference" totalsRowFunction="sum" dataDxfId="1021" totalsRowDxfId="1020">
      <calculatedColumnFormula>Table648[Projected Cost]-Table648[Actual Cost]</calculatedColumnFormula>
    </tableColumn>
  </tableColumns>
  <tableStyleInfo name="TableStyleMedium23" showFirstColumn="0" showLastColumn="0" showRowStripes="1" showColumnStripes="0"/>
</table>
</file>

<file path=xl/tables/table48.xml><?xml version="1.0" encoding="utf-8"?>
<table xmlns="http://schemas.openxmlformats.org/spreadsheetml/2006/main" id="48" name="Table1149" displayName="Table1149" ref="G45:J49" totalsRowCount="1" headerRowDxfId="1019" dataDxfId="1018" totalsRowDxfId="1016" tableBorderDxfId="1017">
  <autoFilter ref="G45:J48"/>
  <tableColumns count="4">
    <tableColumn id="1" name="GIFTS AND DONATIONS" totalsRowLabel="Total" dataDxfId="1015" totalsRowDxfId="1014"/>
    <tableColumn id="2" name="Projected Cost" totalsRowFunction="sum" dataDxfId="1013" totalsRowDxfId="1012"/>
    <tableColumn id="3" name="Actual Cost" totalsRowFunction="sum" dataDxfId="1011" totalsRowDxfId="1010"/>
    <tableColumn id="4" name="Difference" totalsRowFunction="sum" dataDxfId="1009" totalsRowDxfId="1008">
      <calculatedColumnFormula>Table1149[Projected Cost]-Table1149[Actual Cost]</calculatedColumnFormula>
    </tableColumn>
  </tableColumns>
  <tableStyleInfo name="TableStyleMedium23" showFirstColumn="0" showLastColumn="0" showRowStripes="1" showColumnStripes="0"/>
</table>
</file>

<file path=xl/tables/table49.xml><?xml version="1.0" encoding="utf-8"?>
<table xmlns="http://schemas.openxmlformats.org/spreadsheetml/2006/main" id="49" name="Table550" displayName="Table550" ref="B41:E45" totalsRowCount="1" headerRowDxfId="1007" dataDxfId="1006" totalsRowDxfId="1004" tableBorderDxfId="1005">
  <autoFilter ref="B41:E44"/>
  <tableColumns count="4">
    <tableColumn id="1" name="FOOD" totalsRowLabel="Total" dataDxfId="1003" totalsRowDxfId="1002"/>
    <tableColumn id="2" name="Projected Cost" totalsRowFunction="sum" dataDxfId="1001" totalsRowDxfId="1000"/>
    <tableColumn id="3" name="Actual Cost" totalsRowFunction="sum" dataDxfId="999" totalsRowDxfId="998"/>
    <tableColumn id="4" name="Difference" totalsRowFunction="sum" dataDxfId="997" totalsRowDxfId="996">
      <calculatedColumnFormula>Table550[Projected Cost]-Table550[Actual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41:E45" totalsRowCount="1" headerRowDxfId="1535" dataDxfId="1534" totalsRowDxfId="1532" tableBorderDxfId="1533">
  <autoFilter ref="B41:E44"/>
  <tableColumns count="4">
    <tableColumn id="1" name="FOOD" totalsRowLabel="Total" dataDxfId="1531" totalsRowDxfId="1530"/>
    <tableColumn id="2" name="Projected Cost" totalsRowFunction="sum" dataDxfId="1529" totalsRowDxfId="1528"/>
    <tableColumn id="3" name="Actual Cost" totalsRowFunction="sum" dataDxfId="1527" totalsRowDxfId="1526"/>
    <tableColumn id="4" name="Difference" totalsRowFunction="sum" dataDxfId="1525" totalsRowDxfId="1524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50.xml><?xml version="1.0" encoding="utf-8"?>
<table xmlns="http://schemas.openxmlformats.org/spreadsheetml/2006/main" id="50" name="Table951" displayName="Table951" ref="G32:J37" totalsRowCount="1" headerRowDxfId="995" dataDxfId="994" totalsRowDxfId="992" tableBorderDxfId="993">
  <autoFilter ref="G32:J36"/>
  <tableColumns count="4">
    <tableColumn id="1" name="Other" totalsRowLabel="Total" dataDxfId="991" totalsRowDxfId="990"/>
    <tableColumn id="2" name="Projected Cost" totalsRowFunction="sum" dataDxfId="989" totalsRowDxfId="988"/>
    <tableColumn id="3" name="Actual Cost" totalsRowFunction="sum" dataDxfId="987" totalsRowDxfId="986"/>
    <tableColumn id="4" name="Difference" totalsRowFunction="sum" dataDxfId="985" totalsRowDxfId="984">
      <calculatedColumnFormula>Table951[Projected Cost]-Table951[Actual Cost]</calculatedColumnFormula>
    </tableColumn>
  </tableColumns>
  <tableStyleInfo name="TableStyleMedium23" showFirstColumn="0" showLastColumn="0" showRowStripes="1" showColumnStripes="0"/>
</table>
</file>

<file path=xl/tables/table51.xml><?xml version="1.0" encoding="utf-8"?>
<table xmlns="http://schemas.openxmlformats.org/spreadsheetml/2006/main" id="51" name="Table352" displayName="Table352" ref="B24:E32" totalsRowCount="1" headerRowDxfId="983" dataDxfId="982" totalsRowDxfId="980" tableBorderDxfId="981">
  <autoFilter ref="B24:E31"/>
  <tableColumns count="4">
    <tableColumn id="1" name="TRANSPORTATION" totalsRowLabel="Total" dataDxfId="979" totalsRowDxfId="978"/>
    <tableColumn id="2" name="Projected Cost" totalsRowFunction="sum" dataDxfId="977" totalsRowDxfId="976"/>
    <tableColumn id="3" name="Actual Cost" totalsRowFunction="sum" dataDxfId="975" totalsRowDxfId="974"/>
    <tableColumn id="4" name="Difference" totalsRowFunction="sum" dataDxfId="973" totalsRowDxfId="972">
      <calculatedColumnFormula>Table352[Projected Cost]-Table352[Actual Cost]</calculatedColumnFormula>
    </tableColumn>
  </tableColumns>
  <tableStyleInfo name="TableStyleMedium23" showFirstColumn="0" showLastColumn="0" showRowStripes="1" showColumnStripes="0"/>
</table>
</file>

<file path=xl/tables/table52.xml><?xml version="1.0" encoding="utf-8"?>
<table xmlns="http://schemas.openxmlformats.org/spreadsheetml/2006/main" id="52" name="Table853" displayName="Table853" ref="G23:J30" totalsRowCount="1" headerRowDxfId="971" dataDxfId="970" totalsRowDxfId="968" tableBorderDxfId="969">
  <autoFilter ref="G23:J29"/>
  <tableColumns count="4">
    <tableColumn id="1" name="LOANS" totalsRowLabel="Total" dataDxfId="967" totalsRowDxfId="966"/>
    <tableColumn id="2" name="Projected Cost" totalsRowFunction="sum" dataDxfId="965" totalsRowDxfId="964"/>
    <tableColumn id="3" name="Actual Cost" totalsRowFunction="sum" dataDxfId="963" totalsRowDxfId="962"/>
    <tableColumn id="4" name="Difference" totalsRowFunction="sum" dataDxfId="961" totalsRowDxfId="960">
      <calculatedColumnFormula>Table853[Projected Cost]-Table853[Actual Cost]</calculatedColumnFormula>
    </tableColumn>
  </tableColumns>
  <tableStyleInfo name="TableStyleMedium23" showFirstColumn="0" showLastColumn="0" showRowStripes="1" showColumnStripes="0"/>
</table>
</file>

<file path=xl/tables/table53.xml><?xml version="1.0" encoding="utf-8"?>
<table xmlns="http://schemas.openxmlformats.org/spreadsheetml/2006/main" id="53" name="Table1054" displayName="Table1054" ref="G39:J43" totalsRowCount="1" headerRowDxfId="959" dataDxfId="958" totalsRowDxfId="956" tableBorderDxfId="957">
  <autoFilter ref="G39:J42"/>
  <tableColumns count="4">
    <tableColumn id="1" name="SAVINGS OR INVESTMENTS" totalsRowLabel="Total" dataDxfId="955" totalsRowDxfId="954"/>
    <tableColumn id="2" name="Projected Cost" totalsRowFunction="sum" dataDxfId="953" totalsRowDxfId="952"/>
    <tableColumn id="3" name="Actual Cost" totalsRowFunction="sum" dataDxfId="951" totalsRowDxfId="950"/>
    <tableColumn id="4" name="Difference" totalsRowFunction="sum" dataDxfId="949" totalsRowDxfId="948">
      <calculatedColumnFormula>Table1054[Projected Cost]-Table1054[Actual Cost]</calculatedColumnFormula>
    </tableColumn>
  </tableColumns>
  <tableStyleInfo name="TableStyleMedium23" showFirstColumn="0" showLastColumn="0" showRowStripes="1" showColumnStripes="0"/>
</table>
</file>

<file path=xl/tables/table54.xml><?xml version="1.0" encoding="utf-8"?>
<table xmlns="http://schemas.openxmlformats.org/spreadsheetml/2006/main" id="54" name="Table755" displayName="Table755" ref="B55:E63" totalsRowCount="1" headerRowDxfId="947" dataDxfId="946" totalsRowDxfId="944" tableBorderDxfId="945">
  <autoFilter ref="B55:E62"/>
  <tableColumns count="4">
    <tableColumn id="1" name="PERSONAL CARE" totalsRowLabel="Total" dataDxfId="943" totalsRowDxfId="942"/>
    <tableColumn id="2" name="Projected Cost" totalsRowFunction="sum" dataDxfId="941" totalsRowDxfId="940"/>
    <tableColumn id="3" name="Actual Cost" totalsRowFunction="sum" dataDxfId="939" totalsRowDxfId="938"/>
    <tableColumn id="4" name="Difference" totalsRowFunction="sum" dataDxfId="937" totalsRowDxfId="936">
      <calculatedColumnFormula>Table755[Projected Cost]-Table755[Actual Cost]</calculatedColumnFormula>
    </tableColumn>
  </tableColumns>
  <tableStyleInfo name="TableStyleMedium23" showFirstColumn="0" showLastColumn="0" showRowStripes="1" showColumnStripes="0"/>
</table>
</file>

<file path=xl/tables/table55.xml><?xml version="1.0" encoding="utf-8"?>
<table xmlns="http://schemas.openxmlformats.org/spreadsheetml/2006/main" id="55" name="Table256" displayName="Table256" ref="G11:J21" totalsRowCount="1" headerRowDxfId="935" dataDxfId="934" totalsRowDxfId="932" tableBorderDxfId="933">
  <autoFilter ref="G11:J20"/>
  <tableColumns count="4">
    <tableColumn id="1" name="ENTERTAINMENT" totalsRowLabel="Total" dataDxfId="931" totalsRowDxfId="930"/>
    <tableColumn id="2" name="Projected Cost" totalsRowFunction="sum" dataDxfId="929" totalsRowDxfId="928"/>
    <tableColumn id="3" name="Actual Cost" totalsRowFunction="sum" dataDxfId="927" totalsRowDxfId="926"/>
    <tableColumn id="4" name="Difference" totalsRowFunction="sum" dataDxfId="925" totalsRowDxfId="924">
      <calculatedColumnFormula>Table256[Projected Cost]-Table256[Actual Cost]</calculatedColumnFormula>
    </tableColumn>
  </tableColumns>
  <tableStyleInfo name="TableStyleMedium23" showFirstColumn="0" showLastColumn="0" showRowStripes="1" showColumnStripes="0"/>
</table>
</file>

<file path=xl/tables/table56.xml><?xml version="1.0" encoding="utf-8"?>
<table xmlns="http://schemas.openxmlformats.org/spreadsheetml/2006/main" id="56" name="Table157" displayName="Table157" ref="B11:E22" totalsRowCount="1" headerRowDxfId="923" dataDxfId="922" totalsRowDxfId="920" tableBorderDxfId="921">
  <autoFilter ref="B11:E21"/>
  <tableColumns count="4">
    <tableColumn id="1" name="HOUSING" totalsRowLabel="Total" dataDxfId="919" totalsRowDxfId="918"/>
    <tableColumn id="2" name="Projected Cost" totalsRowFunction="sum" dataDxfId="917" totalsRowDxfId="916"/>
    <tableColumn id="3" name="Actual Cost" totalsRowFunction="sum" dataDxfId="915" totalsRowDxfId="914"/>
    <tableColumn id="4" name="Difference" totalsRowFunction="sum" dataDxfId="913" totalsRowDxfId="912">
      <calculatedColumnFormula>Table157[Projected Cost]-Table157[Actual Cost]</calculatedColumnFormula>
    </tableColumn>
  </tableColumns>
  <tableStyleInfo name="TableStyleMedium23" showFirstColumn="0" showLastColumn="0" showRowStripes="1" showColumnStripes="0"/>
</table>
</file>

<file path=xl/tables/table57.xml><?xml version="1.0" encoding="utf-8"?>
<table xmlns="http://schemas.openxmlformats.org/spreadsheetml/2006/main" id="57" name="Table458" displayName="Table458" ref="B34:E39" totalsRowCount="1" headerRowDxfId="911" dataDxfId="910" totalsRowDxfId="908" tableBorderDxfId="909">
  <autoFilter ref="B34:E38"/>
  <tableColumns count="4">
    <tableColumn id="1" name="INSURANCE" totalsRowLabel="Total" dataDxfId="907" totalsRowDxfId="906"/>
    <tableColumn id="2" name="Projected Cost" totalsRowFunction="sum" dataDxfId="905" totalsRowDxfId="904"/>
    <tableColumn id="3" name="Actual Cost" totalsRowFunction="sum" dataDxfId="903" totalsRowDxfId="902"/>
    <tableColumn id="4" name="Difference" totalsRowFunction="sum" dataDxfId="901" totalsRowDxfId="900">
      <calculatedColumnFormula>Table458[Projected Cost]-Table458[Actual Cost]</calculatedColumnFormula>
    </tableColumn>
  </tableColumns>
  <tableStyleInfo name="TableStyleMedium23" showFirstColumn="0" showLastColumn="0" showRowStripes="1" showColumnStripes="0"/>
</table>
</file>

<file path=xl/tables/table58.xml><?xml version="1.0" encoding="utf-8"?>
<table xmlns="http://schemas.openxmlformats.org/spreadsheetml/2006/main" id="58" name="Table659" displayName="Table659" ref="B47:E53" totalsRowCount="1" headerRowDxfId="899" dataDxfId="898" totalsRowDxfId="896" tableBorderDxfId="897">
  <autoFilter ref="B47:E52"/>
  <tableColumns count="4">
    <tableColumn id="1" name="PETS" totalsRowLabel="Total" dataDxfId="895" totalsRowDxfId="894"/>
    <tableColumn id="2" name="Projected Cost" totalsRowFunction="sum" dataDxfId="893" totalsRowDxfId="892"/>
    <tableColumn id="3" name="Actual Cost" totalsRowFunction="sum" dataDxfId="891" totalsRowDxfId="890"/>
    <tableColumn id="4" name="Difference" totalsRowFunction="sum" dataDxfId="889" totalsRowDxfId="888">
      <calculatedColumnFormula>Table659[Projected Cost]-Table659[Actual Cost]</calculatedColumnFormula>
    </tableColumn>
  </tableColumns>
  <tableStyleInfo name="TableStyleMedium23" showFirstColumn="0" showLastColumn="0" showRowStripes="1" showColumnStripes="0"/>
</table>
</file>

<file path=xl/tables/table59.xml><?xml version="1.0" encoding="utf-8"?>
<table xmlns="http://schemas.openxmlformats.org/spreadsheetml/2006/main" id="59" name="Table1160" displayName="Table1160" ref="G45:J49" totalsRowCount="1" headerRowDxfId="887" dataDxfId="886" totalsRowDxfId="884" tableBorderDxfId="885">
  <autoFilter ref="G45:J48"/>
  <tableColumns count="4">
    <tableColumn id="1" name="GIFTS AND DONATIONS" totalsRowLabel="Total" dataDxfId="883" totalsRowDxfId="882"/>
    <tableColumn id="2" name="Projected Cost" totalsRowFunction="sum" dataDxfId="881" totalsRowDxfId="880"/>
    <tableColumn id="3" name="Actual Cost" totalsRowFunction="sum" dataDxfId="879" totalsRowDxfId="878"/>
    <tableColumn id="4" name="Difference" totalsRowFunction="sum" dataDxfId="877" totalsRowDxfId="876">
      <calculatedColumnFormula>Table1160[Projected Cost]-Table1160[Actual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G32:J37" totalsRowCount="1" headerRowDxfId="1523" dataDxfId="1522" totalsRowDxfId="1520" tableBorderDxfId="1521">
  <autoFilter ref="G32:J36"/>
  <tableColumns count="4">
    <tableColumn id="1" name="Other" totalsRowLabel="Total" dataDxfId="1519" totalsRowDxfId="1518"/>
    <tableColumn id="2" name="Projected Cost" totalsRowFunction="sum" dataDxfId="1517" totalsRowDxfId="1516"/>
    <tableColumn id="3" name="Actual Cost" totalsRowFunction="sum" dataDxfId="1515" totalsRowDxfId="1514"/>
    <tableColumn id="4" name="Difference" totalsRowFunction="sum" dataDxfId="1513" totalsRowDxfId="1512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60.xml><?xml version="1.0" encoding="utf-8"?>
<table xmlns="http://schemas.openxmlformats.org/spreadsheetml/2006/main" id="60" name="Table561" displayName="Table561" ref="B41:E45" totalsRowCount="1" headerRowDxfId="875" dataDxfId="874" totalsRowDxfId="872" tableBorderDxfId="873">
  <autoFilter ref="B41:E44"/>
  <tableColumns count="4">
    <tableColumn id="1" name="FOOD" totalsRowLabel="Total" dataDxfId="871" totalsRowDxfId="870"/>
    <tableColumn id="2" name="Projected Cost" totalsRowFunction="sum" dataDxfId="869" totalsRowDxfId="868"/>
    <tableColumn id="3" name="Actual Cost" totalsRowFunction="sum" dataDxfId="867" totalsRowDxfId="866"/>
    <tableColumn id="4" name="Difference" totalsRowFunction="sum" dataDxfId="865" totalsRowDxfId="864">
      <calculatedColumnFormula>Table561[Projected Cost]-Table561[Actual Cost]</calculatedColumnFormula>
    </tableColumn>
  </tableColumns>
  <tableStyleInfo name="TableStyleMedium23" showFirstColumn="0" showLastColumn="0" showRowStripes="1" showColumnStripes="0"/>
</table>
</file>

<file path=xl/tables/table61.xml><?xml version="1.0" encoding="utf-8"?>
<table xmlns="http://schemas.openxmlformats.org/spreadsheetml/2006/main" id="61" name="Table962" displayName="Table962" ref="G32:J37" totalsRowCount="1" headerRowDxfId="863" dataDxfId="862" totalsRowDxfId="860" tableBorderDxfId="861">
  <autoFilter ref="G32:J36"/>
  <tableColumns count="4">
    <tableColumn id="1" name="Other" totalsRowLabel="Total" dataDxfId="859" totalsRowDxfId="858"/>
    <tableColumn id="2" name="Projected Cost" totalsRowFunction="sum" dataDxfId="857" totalsRowDxfId="856"/>
    <tableColumn id="3" name="Actual Cost" totalsRowFunction="sum" dataDxfId="855" totalsRowDxfId="854"/>
    <tableColumn id="4" name="Difference" totalsRowFunction="sum" dataDxfId="853" totalsRowDxfId="852">
      <calculatedColumnFormula>Table962[Projected Cost]-Table962[Actual Cost]</calculatedColumnFormula>
    </tableColumn>
  </tableColumns>
  <tableStyleInfo name="TableStyleMedium23" showFirstColumn="0" showLastColumn="0" showRowStripes="1" showColumnStripes="0"/>
</table>
</file>

<file path=xl/tables/table62.xml><?xml version="1.0" encoding="utf-8"?>
<table xmlns="http://schemas.openxmlformats.org/spreadsheetml/2006/main" id="62" name="Table363" displayName="Table363" ref="B24:E32" totalsRowCount="1" headerRowDxfId="851" dataDxfId="850" totalsRowDxfId="848" tableBorderDxfId="849">
  <autoFilter ref="B24:E31"/>
  <tableColumns count="4">
    <tableColumn id="1" name="TRANSPORTATION" totalsRowLabel="Total" dataDxfId="847" totalsRowDxfId="846"/>
    <tableColumn id="2" name="Projected Cost" totalsRowFunction="sum" dataDxfId="845" totalsRowDxfId="844"/>
    <tableColumn id="3" name="Actual Cost" totalsRowFunction="sum" dataDxfId="843" totalsRowDxfId="842"/>
    <tableColumn id="4" name="Difference" totalsRowFunction="sum" dataDxfId="841" totalsRowDxfId="840">
      <calculatedColumnFormula>Table363[Projected Cost]-Table363[Actual Cost]</calculatedColumnFormula>
    </tableColumn>
  </tableColumns>
  <tableStyleInfo name="TableStyleMedium23" showFirstColumn="0" showLastColumn="0" showRowStripes="1" showColumnStripes="0"/>
</table>
</file>

<file path=xl/tables/table63.xml><?xml version="1.0" encoding="utf-8"?>
<table xmlns="http://schemas.openxmlformats.org/spreadsheetml/2006/main" id="63" name="Table864" displayName="Table864" ref="G23:J30" totalsRowCount="1" headerRowDxfId="839" dataDxfId="838" totalsRowDxfId="836" tableBorderDxfId="837">
  <autoFilter ref="G23:J29"/>
  <tableColumns count="4">
    <tableColumn id="1" name="LOANS" totalsRowLabel="Total" dataDxfId="835" totalsRowDxfId="834"/>
    <tableColumn id="2" name="Projected Cost" totalsRowFunction="sum" dataDxfId="833" totalsRowDxfId="832"/>
    <tableColumn id="3" name="Actual Cost" totalsRowFunction="sum" dataDxfId="831" totalsRowDxfId="830"/>
    <tableColumn id="4" name="Difference" totalsRowFunction="sum" dataDxfId="829" totalsRowDxfId="828">
      <calculatedColumnFormula>Table864[Projected Cost]-Table864[Actual Cost]</calculatedColumnFormula>
    </tableColumn>
  </tableColumns>
  <tableStyleInfo name="TableStyleMedium23" showFirstColumn="0" showLastColumn="0" showRowStripes="1" showColumnStripes="0"/>
</table>
</file>

<file path=xl/tables/table64.xml><?xml version="1.0" encoding="utf-8"?>
<table xmlns="http://schemas.openxmlformats.org/spreadsheetml/2006/main" id="64" name="Table1065" displayName="Table1065" ref="G39:J43" totalsRowCount="1" headerRowDxfId="827" dataDxfId="826" totalsRowDxfId="824" tableBorderDxfId="825">
  <autoFilter ref="G39:J42"/>
  <tableColumns count="4">
    <tableColumn id="1" name="SAVINGS OR INVESTMENTS" totalsRowLabel="Total" dataDxfId="823" totalsRowDxfId="822"/>
    <tableColumn id="2" name="Projected Cost" totalsRowFunction="sum" dataDxfId="821" totalsRowDxfId="820"/>
    <tableColumn id="3" name="Actual Cost" totalsRowFunction="sum" dataDxfId="819" totalsRowDxfId="818"/>
    <tableColumn id="4" name="Difference" totalsRowFunction="sum" dataDxfId="817" totalsRowDxfId="816">
      <calculatedColumnFormula>Table1065[Projected Cost]-Table1065[Actual Cost]</calculatedColumnFormula>
    </tableColumn>
  </tableColumns>
  <tableStyleInfo name="TableStyleMedium23" showFirstColumn="0" showLastColumn="0" showRowStripes="1" showColumnStripes="0"/>
</table>
</file>

<file path=xl/tables/table65.xml><?xml version="1.0" encoding="utf-8"?>
<table xmlns="http://schemas.openxmlformats.org/spreadsheetml/2006/main" id="65" name="Table766" displayName="Table766" ref="B55:E63" totalsRowCount="1" headerRowDxfId="815" dataDxfId="814" totalsRowDxfId="812" tableBorderDxfId="813">
  <autoFilter ref="B55:E62"/>
  <tableColumns count="4">
    <tableColumn id="1" name="PERSONAL CARE" totalsRowLabel="Total" dataDxfId="811" totalsRowDxfId="810"/>
    <tableColumn id="2" name="Projected Cost" totalsRowFunction="sum" dataDxfId="809" totalsRowDxfId="808"/>
    <tableColumn id="3" name="Actual Cost" totalsRowFunction="sum" dataDxfId="807" totalsRowDxfId="806"/>
    <tableColumn id="4" name="Difference" totalsRowFunction="sum" dataDxfId="805" totalsRowDxfId="804">
      <calculatedColumnFormula>Table766[Projected Cost]-Table766[Actual Cost]</calculatedColumnFormula>
    </tableColumn>
  </tableColumns>
  <tableStyleInfo name="TableStyleMedium23" showFirstColumn="0" showLastColumn="0" showRowStripes="1" showColumnStripes="0"/>
</table>
</file>

<file path=xl/tables/table66.xml><?xml version="1.0" encoding="utf-8"?>
<table xmlns="http://schemas.openxmlformats.org/spreadsheetml/2006/main" id="66" name="Table267" displayName="Table267" ref="G11:J21" totalsRowCount="1" headerRowDxfId="803" dataDxfId="802" totalsRowDxfId="800" tableBorderDxfId="801">
  <autoFilter ref="G11:J20"/>
  <tableColumns count="4">
    <tableColumn id="1" name="ENTERTAINMENT" totalsRowLabel="Total" dataDxfId="799" totalsRowDxfId="798"/>
    <tableColumn id="2" name="Projected Cost" totalsRowFunction="sum" dataDxfId="797" totalsRowDxfId="796"/>
    <tableColumn id="3" name="Actual Cost" totalsRowFunction="sum" dataDxfId="795" totalsRowDxfId="794"/>
    <tableColumn id="4" name="Difference" totalsRowFunction="sum" dataDxfId="793" totalsRowDxfId="792">
      <calculatedColumnFormula>Table267[Projected Cost]-Table267[Actual Cost]</calculatedColumnFormula>
    </tableColumn>
  </tableColumns>
  <tableStyleInfo name="TableStyleMedium23" showFirstColumn="0" showLastColumn="0" showRowStripes="1" showColumnStripes="0"/>
</table>
</file>

<file path=xl/tables/table67.xml><?xml version="1.0" encoding="utf-8"?>
<table xmlns="http://schemas.openxmlformats.org/spreadsheetml/2006/main" id="67" name="Table168" displayName="Table168" ref="B11:E22" totalsRowCount="1" headerRowDxfId="791" dataDxfId="790" totalsRowDxfId="788" tableBorderDxfId="789">
  <autoFilter ref="B11:E21"/>
  <tableColumns count="4">
    <tableColumn id="1" name="HOUSING" totalsRowLabel="Total" dataDxfId="787" totalsRowDxfId="786"/>
    <tableColumn id="2" name="Projected Cost" totalsRowFunction="sum" dataDxfId="785" totalsRowDxfId="784"/>
    <tableColumn id="3" name="Actual Cost" totalsRowFunction="sum" dataDxfId="783" totalsRowDxfId="782"/>
    <tableColumn id="4" name="Difference" totalsRowFunction="sum" dataDxfId="781" totalsRowDxfId="780">
      <calculatedColumnFormula>Table168[Projected Cost]-Table168[Actual Cost]</calculatedColumnFormula>
    </tableColumn>
  </tableColumns>
  <tableStyleInfo name="TableStyleMedium23" showFirstColumn="0" showLastColumn="0" showRowStripes="1" showColumnStripes="0"/>
</table>
</file>

<file path=xl/tables/table68.xml><?xml version="1.0" encoding="utf-8"?>
<table xmlns="http://schemas.openxmlformats.org/spreadsheetml/2006/main" id="68" name="Table469" displayName="Table469" ref="B34:E39" totalsRowCount="1" headerRowDxfId="779" dataDxfId="778" totalsRowDxfId="776" tableBorderDxfId="777">
  <autoFilter ref="B34:E38"/>
  <tableColumns count="4">
    <tableColumn id="1" name="INSURANCE" totalsRowLabel="Total" dataDxfId="775" totalsRowDxfId="774"/>
    <tableColumn id="2" name="Projected Cost" totalsRowFunction="sum" dataDxfId="773" totalsRowDxfId="772"/>
    <tableColumn id="3" name="Actual Cost" totalsRowFunction="sum" dataDxfId="771" totalsRowDxfId="770"/>
    <tableColumn id="4" name="Difference" totalsRowFunction="sum" dataDxfId="769" totalsRowDxfId="768">
      <calculatedColumnFormula>Table469[Projected Cost]-Table469[Actual Cost]</calculatedColumnFormula>
    </tableColumn>
  </tableColumns>
  <tableStyleInfo name="TableStyleMedium23" showFirstColumn="0" showLastColumn="0" showRowStripes="1" showColumnStripes="0"/>
</table>
</file>

<file path=xl/tables/table69.xml><?xml version="1.0" encoding="utf-8"?>
<table xmlns="http://schemas.openxmlformats.org/spreadsheetml/2006/main" id="69" name="Table670" displayName="Table670" ref="B47:E53" totalsRowCount="1" headerRowDxfId="767" dataDxfId="766" totalsRowDxfId="764" tableBorderDxfId="765">
  <autoFilter ref="B47:E52"/>
  <tableColumns count="4">
    <tableColumn id="1" name="PETS" totalsRowLabel="Total" dataDxfId="763" totalsRowDxfId="762"/>
    <tableColumn id="2" name="Projected Cost" totalsRowFunction="sum" dataDxfId="761" totalsRowDxfId="760"/>
    <tableColumn id="3" name="Actual Cost" totalsRowFunction="sum" dataDxfId="759" totalsRowDxfId="758"/>
    <tableColumn id="4" name="Difference" totalsRowFunction="sum" dataDxfId="757" totalsRowDxfId="756">
      <calculatedColumnFormula>Table670[Projected Cost]-Table670[Actual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B24:E32" totalsRowCount="1" headerRowDxfId="1511" dataDxfId="1510" totalsRowDxfId="1508" tableBorderDxfId="1509">
  <autoFilter ref="B24:E31"/>
  <tableColumns count="4">
    <tableColumn id="1" name="TRANSPORTATION" totalsRowLabel="Total" dataDxfId="1507" totalsRowDxfId="1506"/>
    <tableColumn id="2" name="Projected Cost" totalsRowFunction="sum" dataDxfId="1505" totalsRowDxfId="1504"/>
    <tableColumn id="3" name="Actual Cost" totalsRowFunction="sum" dataDxfId="1503" totalsRowDxfId="1502"/>
    <tableColumn id="4" name="Difference" totalsRowFunction="sum" dataDxfId="1501" totalsRowDxfId="1500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70.xml><?xml version="1.0" encoding="utf-8"?>
<table xmlns="http://schemas.openxmlformats.org/spreadsheetml/2006/main" id="70" name="Table1171" displayName="Table1171" ref="G45:J49" totalsRowCount="1" headerRowDxfId="755" dataDxfId="754" totalsRowDxfId="752" tableBorderDxfId="753">
  <autoFilter ref="G45:J48"/>
  <tableColumns count="4">
    <tableColumn id="1" name="GIFTS AND DONATIONS" totalsRowLabel="Total" dataDxfId="751" totalsRowDxfId="750"/>
    <tableColumn id="2" name="Projected Cost" totalsRowFunction="sum" dataDxfId="749" totalsRowDxfId="748"/>
    <tableColumn id="3" name="Actual Cost" totalsRowFunction="sum" dataDxfId="747" totalsRowDxfId="746"/>
    <tableColumn id="4" name="Difference" totalsRowFunction="sum" dataDxfId="745" totalsRowDxfId="744">
      <calculatedColumnFormula>Table1171[Projected Cost]-Table1171[Actual Cost]</calculatedColumnFormula>
    </tableColumn>
  </tableColumns>
  <tableStyleInfo name="TableStyleMedium23" showFirstColumn="0" showLastColumn="0" showRowStripes="1" showColumnStripes="0"/>
</table>
</file>

<file path=xl/tables/table71.xml><?xml version="1.0" encoding="utf-8"?>
<table xmlns="http://schemas.openxmlformats.org/spreadsheetml/2006/main" id="71" name="Table572" displayName="Table572" ref="B41:E45" totalsRowCount="1" headerRowDxfId="743" dataDxfId="742" totalsRowDxfId="740" tableBorderDxfId="741">
  <autoFilter ref="B41:E44"/>
  <tableColumns count="4">
    <tableColumn id="1" name="FOOD" totalsRowLabel="Total" dataDxfId="739" totalsRowDxfId="738"/>
    <tableColumn id="2" name="Projected Cost" totalsRowFunction="sum" dataDxfId="737" totalsRowDxfId="736"/>
    <tableColumn id="3" name="Actual Cost" totalsRowFunction="sum" dataDxfId="735" totalsRowDxfId="734"/>
    <tableColumn id="4" name="Difference" totalsRowFunction="sum" dataDxfId="733" totalsRowDxfId="732">
      <calculatedColumnFormula>Table572[Projected Cost]-Table572[Actual Cost]</calculatedColumnFormula>
    </tableColumn>
  </tableColumns>
  <tableStyleInfo name="TableStyleMedium23" showFirstColumn="0" showLastColumn="0" showRowStripes="1" showColumnStripes="0"/>
</table>
</file>

<file path=xl/tables/table72.xml><?xml version="1.0" encoding="utf-8"?>
<table xmlns="http://schemas.openxmlformats.org/spreadsheetml/2006/main" id="72" name="Table973" displayName="Table973" ref="G32:J37" totalsRowCount="1" headerRowDxfId="731" dataDxfId="730" totalsRowDxfId="728" tableBorderDxfId="729">
  <autoFilter ref="G32:J36"/>
  <tableColumns count="4">
    <tableColumn id="1" name="Other" totalsRowLabel="Total" dataDxfId="727" totalsRowDxfId="726"/>
    <tableColumn id="2" name="Projected Cost" totalsRowFunction="sum" dataDxfId="725" totalsRowDxfId="724"/>
    <tableColumn id="3" name="Actual Cost" totalsRowFunction="sum" dataDxfId="723" totalsRowDxfId="722"/>
    <tableColumn id="4" name="Difference" totalsRowFunction="sum" dataDxfId="721" totalsRowDxfId="720">
      <calculatedColumnFormula>Table973[Projected Cost]-Table973[Actual Cost]</calculatedColumnFormula>
    </tableColumn>
  </tableColumns>
  <tableStyleInfo name="TableStyleMedium23" showFirstColumn="0" showLastColumn="0" showRowStripes="1" showColumnStripes="0"/>
</table>
</file>

<file path=xl/tables/table73.xml><?xml version="1.0" encoding="utf-8"?>
<table xmlns="http://schemas.openxmlformats.org/spreadsheetml/2006/main" id="73" name="Table374" displayName="Table374" ref="B24:E32" totalsRowCount="1" headerRowDxfId="719" dataDxfId="718" totalsRowDxfId="716" tableBorderDxfId="717">
  <autoFilter ref="B24:E31"/>
  <tableColumns count="4">
    <tableColumn id="1" name="TRANSPORTATION" totalsRowLabel="Total" dataDxfId="715" totalsRowDxfId="714"/>
    <tableColumn id="2" name="Projected Cost" totalsRowFunction="sum" dataDxfId="713" totalsRowDxfId="712"/>
    <tableColumn id="3" name="Actual Cost" totalsRowFunction="sum" dataDxfId="711" totalsRowDxfId="710"/>
    <tableColumn id="4" name="Difference" totalsRowFunction="sum" dataDxfId="709" totalsRowDxfId="708">
      <calculatedColumnFormula>Table374[Projected Cost]-Table374[Actual Cost]</calculatedColumnFormula>
    </tableColumn>
  </tableColumns>
  <tableStyleInfo name="TableStyleMedium23" showFirstColumn="0" showLastColumn="0" showRowStripes="1" showColumnStripes="0"/>
</table>
</file>

<file path=xl/tables/table74.xml><?xml version="1.0" encoding="utf-8"?>
<table xmlns="http://schemas.openxmlformats.org/spreadsheetml/2006/main" id="74" name="Table875" displayName="Table875" ref="G23:J30" totalsRowCount="1" headerRowDxfId="707" dataDxfId="706" totalsRowDxfId="704" tableBorderDxfId="705">
  <autoFilter ref="G23:J29"/>
  <tableColumns count="4">
    <tableColumn id="1" name="LOANS" totalsRowLabel="Total" dataDxfId="703" totalsRowDxfId="702"/>
    <tableColumn id="2" name="Projected Cost" totalsRowFunction="sum" dataDxfId="701" totalsRowDxfId="700"/>
    <tableColumn id="3" name="Actual Cost" totalsRowFunction="sum" dataDxfId="699" totalsRowDxfId="698"/>
    <tableColumn id="4" name="Difference" totalsRowFunction="sum" dataDxfId="697" totalsRowDxfId="696">
      <calculatedColumnFormula>Table875[Projected Cost]-Table875[Actual Cost]</calculatedColumnFormula>
    </tableColumn>
  </tableColumns>
  <tableStyleInfo name="TableStyleMedium23" showFirstColumn="0" showLastColumn="0" showRowStripes="1" showColumnStripes="0"/>
</table>
</file>

<file path=xl/tables/table75.xml><?xml version="1.0" encoding="utf-8"?>
<table xmlns="http://schemas.openxmlformats.org/spreadsheetml/2006/main" id="75" name="Table1076" displayName="Table1076" ref="G39:J43" totalsRowCount="1" headerRowDxfId="695" dataDxfId="694" totalsRowDxfId="692" tableBorderDxfId="693">
  <autoFilter ref="G39:J42"/>
  <tableColumns count="4">
    <tableColumn id="1" name="SAVINGS OR INVESTMENTS" totalsRowLabel="Total" dataDxfId="691" totalsRowDxfId="690"/>
    <tableColumn id="2" name="Projected Cost" totalsRowFunction="sum" dataDxfId="689" totalsRowDxfId="688"/>
    <tableColumn id="3" name="Actual Cost" totalsRowFunction="sum" dataDxfId="687" totalsRowDxfId="686"/>
    <tableColumn id="4" name="Difference" totalsRowFunction="sum" dataDxfId="685" totalsRowDxfId="684">
      <calculatedColumnFormula>Table1076[Projected Cost]-Table1076[Actual Cost]</calculatedColumnFormula>
    </tableColumn>
  </tableColumns>
  <tableStyleInfo name="TableStyleMedium23" showFirstColumn="0" showLastColumn="0" showRowStripes="1" showColumnStripes="0"/>
</table>
</file>

<file path=xl/tables/table76.xml><?xml version="1.0" encoding="utf-8"?>
<table xmlns="http://schemas.openxmlformats.org/spreadsheetml/2006/main" id="76" name="Table777" displayName="Table777" ref="B55:E63" totalsRowCount="1" headerRowDxfId="683" dataDxfId="682" totalsRowDxfId="680" tableBorderDxfId="681">
  <autoFilter ref="B55:E62"/>
  <tableColumns count="4">
    <tableColumn id="1" name="PERSONAL CARE" totalsRowLabel="Total" dataDxfId="679" totalsRowDxfId="678"/>
    <tableColumn id="2" name="Projected Cost" totalsRowFunction="sum" dataDxfId="677" totalsRowDxfId="676"/>
    <tableColumn id="3" name="Actual Cost" totalsRowFunction="sum" dataDxfId="675" totalsRowDxfId="674"/>
    <tableColumn id="4" name="Difference" totalsRowFunction="sum" dataDxfId="673" totalsRowDxfId="672">
      <calculatedColumnFormula>Table777[Projected Cost]-Table777[Actual Cost]</calculatedColumnFormula>
    </tableColumn>
  </tableColumns>
  <tableStyleInfo name="TableStyleMedium23" showFirstColumn="0" showLastColumn="0" showRowStripes="1" showColumnStripes="0"/>
</table>
</file>

<file path=xl/tables/table77.xml><?xml version="1.0" encoding="utf-8"?>
<table xmlns="http://schemas.openxmlformats.org/spreadsheetml/2006/main" id="77" name="Table278" displayName="Table278" ref="G11:J21" totalsRowCount="1" headerRowDxfId="671" dataDxfId="670" totalsRowDxfId="668" tableBorderDxfId="669">
  <autoFilter ref="G11:J20"/>
  <tableColumns count="4">
    <tableColumn id="1" name="ENTERTAINMENT" totalsRowLabel="Total" dataDxfId="667" totalsRowDxfId="666"/>
    <tableColumn id="2" name="Projected Cost" totalsRowFunction="sum" dataDxfId="665" totalsRowDxfId="664"/>
    <tableColumn id="3" name="Actual Cost" totalsRowFunction="sum" dataDxfId="663" totalsRowDxfId="662"/>
    <tableColumn id="4" name="Difference" totalsRowFunction="sum" dataDxfId="661" totalsRowDxfId="660">
      <calculatedColumnFormula>Table278[Projected Cost]-Table278[Actual Cost]</calculatedColumnFormula>
    </tableColumn>
  </tableColumns>
  <tableStyleInfo name="TableStyleMedium23" showFirstColumn="0" showLastColumn="0" showRowStripes="1" showColumnStripes="0"/>
</table>
</file>

<file path=xl/tables/table78.xml><?xml version="1.0" encoding="utf-8"?>
<table xmlns="http://schemas.openxmlformats.org/spreadsheetml/2006/main" id="78" name="Table179" displayName="Table179" ref="B11:E22" totalsRowCount="1" headerRowDxfId="659" dataDxfId="658" totalsRowDxfId="656" tableBorderDxfId="657">
  <autoFilter ref="B11:E21"/>
  <tableColumns count="4">
    <tableColumn id="1" name="HOUSING" totalsRowLabel="Total" dataDxfId="655" totalsRowDxfId="654"/>
    <tableColumn id="2" name="Projected Cost" totalsRowFunction="sum" dataDxfId="653" totalsRowDxfId="652"/>
    <tableColumn id="3" name="Actual Cost" totalsRowFunction="sum" dataDxfId="651" totalsRowDxfId="650"/>
    <tableColumn id="4" name="Difference" totalsRowFunction="sum" dataDxfId="649" totalsRowDxfId="648">
      <calculatedColumnFormula>Table179[Projected Cost]-Table179[Actual Cost]</calculatedColumnFormula>
    </tableColumn>
  </tableColumns>
  <tableStyleInfo name="TableStyleMedium23" showFirstColumn="0" showLastColumn="0" showRowStripes="1" showColumnStripes="0"/>
</table>
</file>

<file path=xl/tables/table79.xml><?xml version="1.0" encoding="utf-8"?>
<table xmlns="http://schemas.openxmlformats.org/spreadsheetml/2006/main" id="79" name="Table480" displayName="Table480" ref="B34:E39" totalsRowCount="1" headerRowDxfId="647" dataDxfId="646" totalsRowDxfId="644" tableBorderDxfId="645">
  <autoFilter ref="B34:E38"/>
  <tableColumns count="4">
    <tableColumn id="1" name="INSURANCE" totalsRowLabel="Total" dataDxfId="643" totalsRowDxfId="642"/>
    <tableColumn id="2" name="Projected Cost" totalsRowFunction="sum" dataDxfId="641" totalsRowDxfId="640"/>
    <tableColumn id="3" name="Actual Cost" totalsRowFunction="sum" dataDxfId="639" totalsRowDxfId="638"/>
    <tableColumn id="4" name="Difference" totalsRowFunction="sum" dataDxfId="637" totalsRowDxfId="636">
      <calculatedColumnFormula>Table480[Projected Cost]-Table480[Actual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G23:J30" totalsRowCount="1" headerRowDxfId="1499" dataDxfId="1498" totalsRowDxfId="1496" tableBorderDxfId="1497">
  <autoFilter ref="G23:J29"/>
  <tableColumns count="4">
    <tableColumn id="1" name="LOANS" totalsRowLabel="Total" dataDxfId="1495" totalsRowDxfId="1494"/>
    <tableColumn id="2" name="Projected Cost" totalsRowFunction="sum" dataDxfId="1493" totalsRowDxfId="1492"/>
    <tableColumn id="3" name="Actual Cost" totalsRowFunction="sum" dataDxfId="1491" totalsRowDxfId="1490"/>
    <tableColumn id="4" name="Difference" totalsRowFunction="sum" dataDxfId="1489" totalsRowDxfId="1488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ables/table80.xml><?xml version="1.0" encoding="utf-8"?>
<table xmlns="http://schemas.openxmlformats.org/spreadsheetml/2006/main" id="80" name="Table681" displayName="Table681" ref="B47:E53" totalsRowCount="1" headerRowDxfId="635" dataDxfId="634" totalsRowDxfId="632" tableBorderDxfId="633">
  <autoFilter ref="B47:E52"/>
  <tableColumns count="4">
    <tableColumn id="1" name="PETS" totalsRowLabel="Total" dataDxfId="631" totalsRowDxfId="630"/>
    <tableColumn id="2" name="Projected Cost" totalsRowFunction="sum" dataDxfId="629" totalsRowDxfId="628"/>
    <tableColumn id="3" name="Actual Cost" totalsRowFunction="sum" dataDxfId="627" totalsRowDxfId="626"/>
    <tableColumn id="4" name="Difference" totalsRowFunction="sum" dataDxfId="625" totalsRowDxfId="624">
      <calculatedColumnFormula>Table681[Projected Cost]-Table681[Actual Cost]</calculatedColumnFormula>
    </tableColumn>
  </tableColumns>
  <tableStyleInfo name="TableStyleMedium23" showFirstColumn="0" showLastColumn="0" showRowStripes="1" showColumnStripes="0"/>
</table>
</file>

<file path=xl/tables/table81.xml><?xml version="1.0" encoding="utf-8"?>
<table xmlns="http://schemas.openxmlformats.org/spreadsheetml/2006/main" id="81" name="Table1182" displayName="Table1182" ref="G45:J49" totalsRowCount="1" headerRowDxfId="623" dataDxfId="622" totalsRowDxfId="620" tableBorderDxfId="621">
  <autoFilter ref="G45:J48"/>
  <tableColumns count="4">
    <tableColumn id="1" name="GIFTS AND DONATIONS" totalsRowLabel="Total" dataDxfId="619" totalsRowDxfId="618"/>
    <tableColumn id="2" name="Projected Cost" totalsRowFunction="sum" dataDxfId="617" totalsRowDxfId="616"/>
    <tableColumn id="3" name="Actual Cost" totalsRowFunction="sum" dataDxfId="615" totalsRowDxfId="614"/>
    <tableColumn id="4" name="Difference" totalsRowFunction="sum" dataDxfId="613" totalsRowDxfId="612">
      <calculatedColumnFormula>Table1182[Projected Cost]-Table1182[Actual Cost]</calculatedColumnFormula>
    </tableColumn>
  </tableColumns>
  <tableStyleInfo name="TableStyleMedium23" showFirstColumn="0" showLastColumn="0" showRowStripes="1" showColumnStripes="0"/>
</table>
</file>

<file path=xl/tables/table82.xml><?xml version="1.0" encoding="utf-8"?>
<table xmlns="http://schemas.openxmlformats.org/spreadsheetml/2006/main" id="82" name="Table583" displayName="Table583" ref="B41:E45" totalsRowCount="1" headerRowDxfId="611" dataDxfId="610" totalsRowDxfId="608" tableBorderDxfId="609">
  <autoFilter ref="B41:E44"/>
  <tableColumns count="4">
    <tableColumn id="1" name="FOOD" totalsRowLabel="Total" dataDxfId="607" totalsRowDxfId="606"/>
    <tableColumn id="2" name="Projected Cost" totalsRowFunction="sum" dataDxfId="605" totalsRowDxfId="604"/>
    <tableColumn id="3" name="Actual Cost" totalsRowFunction="sum" dataDxfId="603" totalsRowDxfId="602"/>
    <tableColumn id="4" name="Difference" totalsRowFunction="sum" dataDxfId="601" totalsRowDxfId="600">
      <calculatedColumnFormula>Table583[Projected Cost]-Table583[Actual Cost]</calculatedColumnFormula>
    </tableColumn>
  </tableColumns>
  <tableStyleInfo name="TableStyleMedium23" showFirstColumn="0" showLastColumn="0" showRowStripes="1" showColumnStripes="0"/>
</table>
</file>

<file path=xl/tables/table83.xml><?xml version="1.0" encoding="utf-8"?>
<table xmlns="http://schemas.openxmlformats.org/spreadsheetml/2006/main" id="83" name="Table984" displayName="Table984" ref="G32:J37" totalsRowCount="1" headerRowDxfId="599" dataDxfId="598" totalsRowDxfId="596" tableBorderDxfId="597">
  <autoFilter ref="G32:J36"/>
  <tableColumns count="4">
    <tableColumn id="1" name="Other" totalsRowLabel="Total" dataDxfId="595" totalsRowDxfId="594"/>
    <tableColumn id="2" name="Projected Cost" totalsRowFunction="sum" dataDxfId="593" totalsRowDxfId="592"/>
    <tableColumn id="3" name="Actual Cost" totalsRowFunction="sum" dataDxfId="591" totalsRowDxfId="590"/>
    <tableColumn id="4" name="Difference" totalsRowFunction="sum" dataDxfId="589" totalsRowDxfId="588">
      <calculatedColumnFormula>Table984[Projected Cost]-Table984[Actual Cost]</calculatedColumnFormula>
    </tableColumn>
  </tableColumns>
  <tableStyleInfo name="TableStyleMedium23" showFirstColumn="0" showLastColumn="0" showRowStripes="1" showColumnStripes="0"/>
</table>
</file>

<file path=xl/tables/table84.xml><?xml version="1.0" encoding="utf-8"?>
<table xmlns="http://schemas.openxmlformats.org/spreadsheetml/2006/main" id="84" name="Table385" displayName="Table385" ref="B24:E32" totalsRowCount="1" headerRowDxfId="587" dataDxfId="586" totalsRowDxfId="584" tableBorderDxfId="585">
  <autoFilter ref="B24:E31"/>
  <tableColumns count="4">
    <tableColumn id="1" name="TRANSPORTATION" totalsRowLabel="Total" dataDxfId="583" totalsRowDxfId="582"/>
    <tableColumn id="2" name="Projected Cost" totalsRowFunction="sum" dataDxfId="581" totalsRowDxfId="580"/>
    <tableColumn id="3" name="Actual Cost" totalsRowFunction="sum" dataDxfId="579" totalsRowDxfId="578"/>
    <tableColumn id="4" name="Difference" totalsRowFunction="sum" dataDxfId="577" totalsRowDxfId="576">
      <calculatedColumnFormula>Table385[Projected Cost]-Table385[Actual Cost]</calculatedColumnFormula>
    </tableColumn>
  </tableColumns>
  <tableStyleInfo name="TableStyleMedium23" showFirstColumn="0" showLastColumn="0" showRowStripes="1" showColumnStripes="0"/>
</table>
</file>

<file path=xl/tables/table85.xml><?xml version="1.0" encoding="utf-8"?>
<table xmlns="http://schemas.openxmlformats.org/spreadsheetml/2006/main" id="85" name="Table886" displayName="Table886" ref="G23:J30" totalsRowCount="1" headerRowDxfId="575" dataDxfId="574" totalsRowDxfId="572" tableBorderDxfId="573">
  <autoFilter ref="G23:J29"/>
  <tableColumns count="4">
    <tableColumn id="1" name="LOANS" totalsRowLabel="Total" dataDxfId="571" totalsRowDxfId="570"/>
    <tableColumn id="2" name="Projected Cost" totalsRowFunction="sum" dataDxfId="569" totalsRowDxfId="568"/>
    <tableColumn id="3" name="Actual Cost" totalsRowFunction="sum" dataDxfId="567" totalsRowDxfId="566"/>
    <tableColumn id="4" name="Difference" totalsRowFunction="sum" dataDxfId="565" totalsRowDxfId="564">
      <calculatedColumnFormula>Table886[Projected Cost]-Table886[Actual Cost]</calculatedColumnFormula>
    </tableColumn>
  </tableColumns>
  <tableStyleInfo name="TableStyleMedium23" showFirstColumn="0" showLastColumn="0" showRowStripes="1" showColumnStripes="0"/>
</table>
</file>

<file path=xl/tables/table86.xml><?xml version="1.0" encoding="utf-8"?>
<table xmlns="http://schemas.openxmlformats.org/spreadsheetml/2006/main" id="86" name="Table1087" displayName="Table1087" ref="G39:J43" totalsRowCount="1" headerRowDxfId="563" dataDxfId="562" totalsRowDxfId="560" tableBorderDxfId="561">
  <autoFilter ref="G39:J42"/>
  <tableColumns count="4">
    <tableColumn id="1" name="SAVINGS OR INVESTMENTS" totalsRowLabel="Total" dataDxfId="559" totalsRowDxfId="558"/>
    <tableColumn id="2" name="Projected Cost" totalsRowFunction="sum" dataDxfId="557" totalsRowDxfId="556"/>
    <tableColumn id="3" name="Actual Cost" totalsRowFunction="sum" dataDxfId="555" totalsRowDxfId="554"/>
    <tableColumn id="4" name="Difference" totalsRowFunction="sum" dataDxfId="553" totalsRowDxfId="552">
      <calculatedColumnFormula>Table1087[Projected Cost]-Table1087[Actual Cost]</calculatedColumnFormula>
    </tableColumn>
  </tableColumns>
  <tableStyleInfo name="TableStyleMedium23" showFirstColumn="0" showLastColumn="0" showRowStripes="1" showColumnStripes="0"/>
</table>
</file>

<file path=xl/tables/table87.xml><?xml version="1.0" encoding="utf-8"?>
<table xmlns="http://schemas.openxmlformats.org/spreadsheetml/2006/main" id="87" name="Table788" displayName="Table788" ref="B55:E63" totalsRowCount="1" headerRowDxfId="551" dataDxfId="550" totalsRowDxfId="548" tableBorderDxfId="549">
  <autoFilter ref="B55:E62"/>
  <tableColumns count="4">
    <tableColumn id="1" name="PERSONAL CARE" totalsRowLabel="Total" dataDxfId="547" totalsRowDxfId="546"/>
    <tableColumn id="2" name="Projected Cost" totalsRowFunction="sum" dataDxfId="545" totalsRowDxfId="544"/>
    <tableColumn id="3" name="Actual Cost" totalsRowFunction="sum" dataDxfId="543" totalsRowDxfId="542"/>
    <tableColumn id="4" name="Difference" totalsRowFunction="sum" dataDxfId="541" totalsRowDxfId="540">
      <calculatedColumnFormula>Table788[Projected Cost]-Table788[Actual Cost]</calculatedColumnFormula>
    </tableColumn>
  </tableColumns>
  <tableStyleInfo name="TableStyleMedium23" showFirstColumn="0" showLastColumn="0" showRowStripes="1" showColumnStripes="0"/>
</table>
</file>

<file path=xl/tables/table88.xml><?xml version="1.0" encoding="utf-8"?>
<table xmlns="http://schemas.openxmlformats.org/spreadsheetml/2006/main" id="88" name="Table289" displayName="Table289" ref="G11:J21" totalsRowCount="1" headerRowDxfId="539" dataDxfId="538" totalsRowDxfId="536" tableBorderDxfId="537">
  <autoFilter ref="G11:J20"/>
  <tableColumns count="4">
    <tableColumn id="1" name="ENTERTAINMENT" totalsRowLabel="Total" dataDxfId="535" totalsRowDxfId="534"/>
    <tableColumn id="2" name="Projected Cost" totalsRowFunction="sum" dataDxfId="533" totalsRowDxfId="532"/>
    <tableColumn id="3" name="Actual Cost" totalsRowFunction="sum" dataDxfId="531" totalsRowDxfId="530"/>
    <tableColumn id="4" name="Difference" totalsRowFunction="sum" dataDxfId="529" totalsRowDxfId="528">
      <calculatedColumnFormula>Table289[Projected Cost]-Table289[Actual Cost]</calculatedColumnFormula>
    </tableColumn>
  </tableColumns>
  <tableStyleInfo name="TableStyleMedium23" showFirstColumn="0" showLastColumn="0" showRowStripes="1" showColumnStripes="0"/>
</table>
</file>

<file path=xl/tables/table89.xml><?xml version="1.0" encoding="utf-8"?>
<table xmlns="http://schemas.openxmlformats.org/spreadsheetml/2006/main" id="89" name="Table190" displayName="Table190" ref="B11:E22" totalsRowCount="1" headerRowDxfId="527" dataDxfId="526" totalsRowDxfId="524" tableBorderDxfId="525">
  <autoFilter ref="B11:E21"/>
  <tableColumns count="4">
    <tableColumn id="1" name="HOUSING" totalsRowLabel="Total" dataDxfId="523" totalsRowDxfId="522"/>
    <tableColumn id="2" name="Projected Cost" totalsRowFunction="sum" dataDxfId="521" totalsRowDxfId="520"/>
    <tableColumn id="3" name="Actual Cost" totalsRowFunction="sum" dataDxfId="519" totalsRowDxfId="518"/>
    <tableColumn id="4" name="Difference" totalsRowFunction="sum" dataDxfId="517" totalsRowDxfId="516">
      <calculatedColumnFormula>Table190[Projected Cost]-Table190[Actual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10" name="Table10" displayName="Table10" ref="G39:J43" totalsRowCount="1" headerRowDxfId="1487" dataDxfId="1486" totalsRowDxfId="1484" tableBorderDxfId="1485">
  <autoFilter ref="G39:J42"/>
  <tableColumns count="4">
    <tableColumn id="1" name="SAVINGS OR INVESTMENTS" totalsRowLabel="Total" dataDxfId="1483" totalsRowDxfId="1482"/>
    <tableColumn id="2" name="Projected Cost" totalsRowFunction="sum" dataDxfId="1481" totalsRowDxfId="1480"/>
    <tableColumn id="3" name="Actual Cost" totalsRowFunction="sum" dataDxfId="1479" totalsRowDxfId="1478"/>
    <tableColumn id="4" name="Difference" totalsRowFunction="sum" dataDxfId="1477" totalsRowDxfId="1476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90.xml><?xml version="1.0" encoding="utf-8"?>
<table xmlns="http://schemas.openxmlformats.org/spreadsheetml/2006/main" id="90" name="Table491" displayName="Table491" ref="B34:E39" totalsRowCount="1" headerRowDxfId="515" dataDxfId="514" totalsRowDxfId="512" tableBorderDxfId="513">
  <autoFilter ref="B34:E38"/>
  <tableColumns count="4">
    <tableColumn id="1" name="INSURANCE" totalsRowLabel="Total" dataDxfId="511" totalsRowDxfId="510"/>
    <tableColumn id="2" name="Projected Cost" totalsRowFunction="sum" dataDxfId="509" totalsRowDxfId="508"/>
    <tableColumn id="3" name="Actual Cost" totalsRowFunction="sum" dataDxfId="507" totalsRowDxfId="506"/>
    <tableColumn id="4" name="Difference" totalsRowFunction="sum" dataDxfId="505" totalsRowDxfId="504">
      <calculatedColumnFormula>Table491[Projected Cost]-Table491[Actual Cost]</calculatedColumnFormula>
    </tableColumn>
  </tableColumns>
  <tableStyleInfo name="TableStyleMedium23" showFirstColumn="0" showLastColumn="0" showRowStripes="1" showColumnStripes="0"/>
</table>
</file>

<file path=xl/tables/table91.xml><?xml version="1.0" encoding="utf-8"?>
<table xmlns="http://schemas.openxmlformats.org/spreadsheetml/2006/main" id="91" name="Table692" displayName="Table692" ref="B47:E53" totalsRowCount="1" headerRowDxfId="503" dataDxfId="502" totalsRowDxfId="500" tableBorderDxfId="501">
  <autoFilter ref="B47:E52"/>
  <tableColumns count="4">
    <tableColumn id="1" name="PETS" totalsRowLabel="Total" dataDxfId="499" totalsRowDxfId="498"/>
    <tableColumn id="2" name="Projected Cost" totalsRowFunction="sum" dataDxfId="497" totalsRowDxfId="496"/>
    <tableColumn id="3" name="Actual Cost" totalsRowFunction="sum" dataDxfId="495" totalsRowDxfId="494"/>
    <tableColumn id="4" name="Difference" totalsRowFunction="sum" dataDxfId="493" totalsRowDxfId="492">
      <calculatedColumnFormula>Table692[Projected Cost]-Table692[Actual Cost]</calculatedColumnFormula>
    </tableColumn>
  </tableColumns>
  <tableStyleInfo name="TableStyleMedium23" showFirstColumn="0" showLastColumn="0" showRowStripes="1" showColumnStripes="0"/>
</table>
</file>

<file path=xl/tables/table92.xml><?xml version="1.0" encoding="utf-8"?>
<table xmlns="http://schemas.openxmlformats.org/spreadsheetml/2006/main" id="92" name="Table1193" displayName="Table1193" ref="G45:J49" totalsRowCount="1" headerRowDxfId="491" dataDxfId="490" totalsRowDxfId="488" tableBorderDxfId="489">
  <autoFilter ref="G45:J48"/>
  <tableColumns count="4">
    <tableColumn id="1" name="GIFTS AND DONATIONS" totalsRowLabel="Total" dataDxfId="487" totalsRowDxfId="486"/>
    <tableColumn id="2" name="Projected Cost" totalsRowFunction="sum" dataDxfId="485" totalsRowDxfId="484"/>
    <tableColumn id="3" name="Actual Cost" totalsRowFunction="sum" dataDxfId="483" totalsRowDxfId="482"/>
    <tableColumn id="4" name="Difference" totalsRowFunction="sum" dataDxfId="481" totalsRowDxfId="480">
      <calculatedColumnFormula>Table1193[Projected Cost]-Table1193[Actual Cost]</calculatedColumnFormula>
    </tableColumn>
  </tableColumns>
  <tableStyleInfo name="TableStyleMedium23" showFirstColumn="0" showLastColumn="0" showRowStripes="1" showColumnStripes="0"/>
</table>
</file>

<file path=xl/tables/table93.xml><?xml version="1.0" encoding="utf-8"?>
<table xmlns="http://schemas.openxmlformats.org/spreadsheetml/2006/main" id="93" name="Table594" displayName="Table594" ref="B41:E45" totalsRowCount="1" headerRowDxfId="479" dataDxfId="478" totalsRowDxfId="476" tableBorderDxfId="477">
  <autoFilter ref="B41:E44"/>
  <tableColumns count="4">
    <tableColumn id="1" name="FOOD" totalsRowLabel="Total" dataDxfId="475" totalsRowDxfId="474"/>
    <tableColumn id="2" name="Projected Cost" totalsRowFunction="sum" dataDxfId="473" totalsRowDxfId="472"/>
    <tableColumn id="3" name="Actual Cost" totalsRowFunction="sum" dataDxfId="471" totalsRowDxfId="470"/>
    <tableColumn id="4" name="Difference" totalsRowFunction="sum" dataDxfId="469" totalsRowDxfId="468">
      <calculatedColumnFormula>Table594[Projected Cost]-Table594[Actual Cost]</calculatedColumnFormula>
    </tableColumn>
  </tableColumns>
  <tableStyleInfo name="TableStyleMedium23" showFirstColumn="0" showLastColumn="0" showRowStripes="1" showColumnStripes="0"/>
</table>
</file>

<file path=xl/tables/table94.xml><?xml version="1.0" encoding="utf-8"?>
<table xmlns="http://schemas.openxmlformats.org/spreadsheetml/2006/main" id="94" name="Table995" displayName="Table995" ref="G32:J37" totalsRowCount="1" headerRowDxfId="467" dataDxfId="466" totalsRowDxfId="464" tableBorderDxfId="465">
  <autoFilter ref="G32:J36"/>
  <tableColumns count="4">
    <tableColumn id="1" name="Other" totalsRowLabel="Total" dataDxfId="463" totalsRowDxfId="462"/>
    <tableColumn id="2" name="Projected Cost" totalsRowFunction="sum" dataDxfId="461" totalsRowDxfId="460"/>
    <tableColumn id="3" name="Actual Cost" totalsRowFunction="sum" dataDxfId="459" totalsRowDxfId="458"/>
    <tableColumn id="4" name="Difference" totalsRowFunction="sum" dataDxfId="457" totalsRowDxfId="456">
      <calculatedColumnFormula>Table995[Projected Cost]-Table995[Actual Cost]</calculatedColumnFormula>
    </tableColumn>
  </tableColumns>
  <tableStyleInfo name="TableStyleMedium23" showFirstColumn="0" showLastColumn="0" showRowStripes="1" showColumnStripes="0"/>
</table>
</file>

<file path=xl/tables/table95.xml><?xml version="1.0" encoding="utf-8"?>
<table xmlns="http://schemas.openxmlformats.org/spreadsheetml/2006/main" id="95" name="Table396" displayName="Table396" ref="B24:E32" totalsRowCount="1" headerRowDxfId="455" dataDxfId="454" totalsRowDxfId="452" tableBorderDxfId="453">
  <autoFilter ref="B24:E31"/>
  <tableColumns count="4">
    <tableColumn id="1" name="TRANSPORTATION" totalsRowLabel="Total" dataDxfId="451" totalsRowDxfId="450"/>
    <tableColumn id="2" name="Projected Cost" totalsRowFunction="sum" dataDxfId="449" totalsRowDxfId="448"/>
    <tableColumn id="3" name="Actual Cost" totalsRowFunction="sum" dataDxfId="447" totalsRowDxfId="446"/>
    <tableColumn id="4" name="Difference" totalsRowFunction="sum" dataDxfId="445" totalsRowDxfId="444">
      <calculatedColumnFormula>Table396[Projected Cost]-Table396[Actual Cost]</calculatedColumnFormula>
    </tableColumn>
  </tableColumns>
  <tableStyleInfo name="TableStyleMedium23" showFirstColumn="0" showLastColumn="0" showRowStripes="1" showColumnStripes="0"/>
</table>
</file>

<file path=xl/tables/table96.xml><?xml version="1.0" encoding="utf-8"?>
<table xmlns="http://schemas.openxmlformats.org/spreadsheetml/2006/main" id="96" name="Table897" displayName="Table897" ref="G23:J30" totalsRowCount="1" headerRowDxfId="443" dataDxfId="442" totalsRowDxfId="440" tableBorderDxfId="441">
  <autoFilter ref="G23:J29"/>
  <tableColumns count="4">
    <tableColumn id="1" name="LOANS" totalsRowLabel="Total" dataDxfId="439" totalsRowDxfId="438"/>
    <tableColumn id="2" name="Projected Cost" totalsRowFunction="sum" dataDxfId="437" totalsRowDxfId="436"/>
    <tableColumn id="3" name="Actual Cost" totalsRowFunction="sum" dataDxfId="435" totalsRowDxfId="434"/>
    <tableColumn id="4" name="Difference" totalsRowFunction="sum" dataDxfId="433" totalsRowDxfId="432">
      <calculatedColumnFormula>Table897[Projected Cost]-Table897[Actual Cost]</calculatedColumnFormula>
    </tableColumn>
  </tableColumns>
  <tableStyleInfo name="TableStyleMedium23" showFirstColumn="0" showLastColumn="0" showRowStripes="1" showColumnStripes="0"/>
</table>
</file>

<file path=xl/tables/table97.xml><?xml version="1.0" encoding="utf-8"?>
<table xmlns="http://schemas.openxmlformats.org/spreadsheetml/2006/main" id="97" name="Table1098" displayName="Table1098" ref="G39:J43" totalsRowCount="1" headerRowDxfId="431" dataDxfId="430" totalsRowDxfId="428" tableBorderDxfId="429">
  <autoFilter ref="G39:J42"/>
  <tableColumns count="4">
    <tableColumn id="1" name="SAVINGS OR INVESTMENTS" totalsRowLabel="Total" dataDxfId="427" totalsRowDxfId="426"/>
    <tableColumn id="2" name="Projected Cost" totalsRowFunction="sum" dataDxfId="425" totalsRowDxfId="424"/>
    <tableColumn id="3" name="Actual Cost" totalsRowFunction="sum" dataDxfId="423" totalsRowDxfId="422"/>
    <tableColumn id="4" name="Difference" totalsRowFunction="sum" dataDxfId="421" totalsRowDxfId="420">
      <calculatedColumnFormula>Table1098[Projected Cost]-Table1098[Actual Cost]</calculatedColumnFormula>
    </tableColumn>
  </tableColumns>
  <tableStyleInfo name="TableStyleMedium23" showFirstColumn="0" showLastColumn="0" showRowStripes="1" showColumnStripes="0"/>
</table>
</file>

<file path=xl/tables/table98.xml><?xml version="1.0" encoding="utf-8"?>
<table xmlns="http://schemas.openxmlformats.org/spreadsheetml/2006/main" id="98" name="Table799" displayName="Table799" ref="B55:E63" totalsRowCount="1" headerRowDxfId="419" dataDxfId="418" totalsRowDxfId="416" tableBorderDxfId="417">
  <autoFilter ref="B55:E62"/>
  <tableColumns count="4">
    <tableColumn id="1" name="PERSONAL CARE" totalsRowLabel="Total" dataDxfId="415" totalsRowDxfId="414"/>
    <tableColumn id="2" name="Projected Cost" totalsRowFunction="sum" dataDxfId="413" totalsRowDxfId="412"/>
    <tableColumn id="3" name="Actual Cost" totalsRowFunction="sum" dataDxfId="411" totalsRowDxfId="410"/>
    <tableColumn id="4" name="Difference" totalsRowFunction="sum" dataDxfId="409" totalsRowDxfId="408">
      <calculatedColumnFormula>Table799[Projected Cost]-Table799[Actual Cost]</calculatedColumnFormula>
    </tableColumn>
  </tableColumns>
  <tableStyleInfo name="TableStyleMedium23" showFirstColumn="0" showLastColumn="0" showRowStripes="1" showColumnStripes="0"/>
</table>
</file>

<file path=xl/tables/table99.xml><?xml version="1.0" encoding="utf-8"?>
<table xmlns="http://schemas.openxmlformats.org/spreadsheetml/2006/main" id="99" name="Table2100" displayName="Table2100" ref="G11:J21" totalsRowCount="1" headerRowDxfId="407" dataDxfId="406" totalsRowDxfId="404" tableBorderDxfId="405">
  <autoFilter ref="G11:J20"/>
  <tableColumns count="4">
    <tableColumn id="1" name="ENTERTAINMENT" totalsRowLabel="Total" dataDxfId="403" totalsRowDxfId="402"/>
    <tableColumn id="2" name="Projected Cost" totalsRowFunction="sum" dataDxfId="401" totalsRowDxfId="400"/>
    <tableColumn id="3" name="Actual Cost" totalsRowFunction="sum" dataDxfId="399" totalsRowDxfId="398"/>
    <tableColumn id="4" name="Difference" totalsRowFunction="sum" dataDxfId="397" totalsRowDxfId="396">
      <calculatedColumnFormula>Table2100[Projected Cost]-Table2100[Actual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6.xml"/><Relationship Id="rId3" Type="http://schemas.openxmlformats.org/officeDocument/2006/relationships/table" Target="../tables/table101.xml"/><Relationship Id="rId7" Type="http://schemas.openxmlformats.org/officeDocument/2006/relationships/table" Target="../tables/table105.xml"/><Relationship Id="rId12" Type="http://schemas.openxmlformats.org/officeDocument/2006/relationships/table" Target="../tables/table110.xml"/><Relationship Id="rId2" Type="http://schemas.openxmlformats.org/officeDocument/2006/relationships/table" Target="../tables/table100.xml"/><Relationship Id="rId1" Type="http://schemas.openxmlformats.org/officeDocument/2006/relationships/drawing" Target="../drawings/drawing10.xml"/><Relationship Id="rId6" Type="http://schemas.openxmlformats.org/officeDocument/2006/relationships/table" Target="../tables/table104.xml"/><Relationship Id="rId11" Type="http://schemas.openxmlformats.org/officeDocument/2006/relationships/table" Target="../tables/table109.xml"/><Relationship Id="rId5" Type="http://schemas.openxmlformats.org/officeDocument/2006/relationships/table" Target="../tables/table103.xml"/><Relationship Id="rId10" Type="http://schemas.openxmlformats.org/officeDocument/2006/relationships/table" Target="../tables/table108.xml"/><Relationship Id="rId4" Type="http://schemas.openxmlformats.org/officeDocument/2006/relationships/table" Target="../tables/table102.xml"/><Relationship Id="rId9" Type="http://schemas.openxmlformats.org/officeDocument/2006/relationships/table" Target="../tables/table10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7.xml"/><Relationship Id="rId3" Type="http://schemas.openxmlformats.org/officeDocument/2006/relationships/table" Target="../tables/table112.xml"/><Relationship Id="rId7" Type="http://schemas.openxmlformats.org/officeDocument/2006/relationships/table" Target="../tables/table116.xml"/><Relationship Id="rId12" Type="http://schemas.openxmlformats.org/officeDocument/2006/relationships/table" Target="../tables/table121.xml"/><Relationship Id="rId2" Type="http://schemas.openxmlformats.org/officeDocument/2006/relationships/table" Target="../tables/table111.xml"/><Relationship Id="rId1" Type="http://schemas.openxmlformats.org/officeDocument/2006/relationships/drawing" Target="../drawings/drawing11.xml"/><Relationship Id="rId6" Type="http://schemas.openxmlformats.org/officeDocument/2006/relationships/table" Target="../tables/table115.xml"/><Relationship Id="rId11" Type="http://schemas.openxmlformats.org/officeDocument/2006/relationships/table" Target="../tables/table120.xml"/><Relationship Id="rId5" Type="http://schemas.openxmlformats.org/officeDocument/2006/relationships/table" Target="../tables/table114.xml"/><Relationship Id="rId10" Type="http://schemas.openxmlformats.org/officeDocument/2006/relationships/table" Target="../tables/table119.xml"/><Relationship Id="rId4" Type="http://schemas.openxmlformats.org/officeDocument/2006/relationships/table" Target="../tables/table113.xml"/><Relationship Id="rId9" Type="http://schemas.openxmlformats.org/officeDocument/2006/relationships/table" Target="../tables/table11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7.xml"/><Relationship Id="rId13" Type="http://schemas.openxmlformats.org/officeDocument/2006/relationships/table" Target="../tables/table132.xml"/><Relationship Id="rId3" Type="http://schemas.openxmlformats.org/officeDocument/2006/relationships/table" Target="../tables/table122.xml"/><Relationship Id="rId7" Type="http://schemas.openxmlformats.org/officeDocument/2006/relationships/table" Target="../tables/table126.xml"/><Relationship Id="rId12" Type="http://schemas.openxmlformats.org/officeDocument/2006/relationships/table" Target="../tables/table13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5.xml"/><Relationship Id="rId11" Type="http://schemas.openxmlformats.org/officeDocument/2006/relationships/table" Target="../tables/table130.xml"/><Relationship Id="rId5" Type="http://schemas.openxmlformats.org/officeDocument/2006/relationships/table" Target="../tables/table124.xml"/><Relationship Id="rId10" Type="http://schemas.openxmlformats.org/officeDocument/2006/relationships/table" Target="../tables/table129.xml"/><Relationship Id="rId4" Type="http://schemas.openxmlformats.org/officeDocument/2006/relationships/table" Target="../tables/table123.xml"/><Relationship Id="rId9" Type="http://schemas.openxmlformats.org/officeDocument/2006/relationships/table" Target="../tables/table12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.xml"/><Relationship Id="rId3" Type="http://schemas.openxmlformats.org/officeDocument/2006/relationships/table" Target="../tables/table13.xml"/><Relationship Id="rId7" Type="http://schemas.openxmlformats.org/officeDocument/2006/relationships/table" Target="../tables/table17.xml"/><Relationship Id="rId12" Type="http://schemas.openxmlformats.org/officeDocument/2006/relationships/table" Target="../tables/table22.xml"/><Relationship Id="rId2" Type="http://schemas.openxmlformats.org/officeDocument/2006/relationships/table" Target="../tables/table12.xml"/><Relationship Id="rId1" Type="http://schemas.openxmlformats.org/officeDocument/2006/relationships/drawing" Target="../drawings/drawing2.xml"/><Relationship Id="rId6" Type="http://schemas.openxmlformats.org/officeDocument/2006/relationships/table" Target="../tables/table16.xml"/><Relationship Id="rId11" Type="http://schemas.openxmlformats.org/officeDocument/2006/relationships/table" Target="../tables/table21.xml"/><Relationship Id="rId5" Type="http://schemas.openxmlformats.org/officeDocument/2006/relationships/table" Target="../tables/table15.xml"/><Relationship Id="rId10" Type="http://schemas.openxmlformats.org/officeDocument/2006/relationships/table" Target="../tables/table20.xml"/><Relationship Id="rId4" Type="http://schemas.openxmlformats.org/officeDocument/2006/relationships/table" Target="../tables/table14.xml"/><Relationship Id="rId9" Type="http://schemas.openxmlformats.org/officeDocument/2006/relationships/table" Target="../tables/table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9.xml"/><Relationship Id="rId3" Type="http://schemas.openxmlformats.org/officeDocument/2006/relationships/table" Target="../tables/table24.xml"/><Relationship Id="rId7" Type="http://schemas.openxmlformats.org/officeDocument/2006/relationships/table" Target="../tables/table28.xml"/><Relationship Id="rId12" Type="http://schemas.openxmlformats.org/officeDocument/2006/relationships/table" Target="../tables/table33.xml"/><Relationship Id="rId2" Type="http://schemas.openxmlformats.org/officeDocument/2006/relationships/table" Target="../tables/table23.xml"/><Relationship Id="rId1" Type="http://schemas.openxmlformats.org/officeDocument/2006/relationships/drawing" Target="../drawings/drawing3.xml"/><Relationship Id="rId6" Type="http://schemas.openxmlformats.org/officeDocument/2006/relationships/table" Target="../tables/table27.xml"/><Relationship Id="rId11" Type="http://schemas.openxmlformats.org/officeDocument/2006/relationships/table" Target="../tables/table32.xml"/><Relationship Id="rId5" Type="http://schemas.openxmlformats.org/officeDocument/2006/relationships/table" Target="../tables/table26.xml"/><Relationship Id="rId10" Type="http://schemas.openxmlformats.org/officeDocument/2006/relationships/table" Target="../tables/table31.xml"/><Relationship Id="rId4" Type="http://schemas.openxmlformats.org/officeDocument/2006/relationships/table" Target="../tables/table25.xml"/><Relationship Id="rId9" Type="http://schemas.openxmlformats.org/officeDocument/2006/relationships/table" Target="../tables/table3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0.xml"/><Relationship Id="rId3" Type="http://schemas.openxmlformats.org/officeDocument/2006/relationships/table" Target="../tables/table35.xml"/><Relationship Id="rId7" Type="http://schemas.openxmlformats.org/officeDocument/2006/relationships/table" Target="../tables/table39.xml"/><Relationship Id="rId12" Type="http://schemas.openxmlformats.org/officeDocument/2006/relationships/table" Target="../tables/table44.xml"/><Relationship Id="rId2" Type="http://schemas.openxmlformats.org/officeDocument/2006/relationships/table" Target="../tables/table34.xml"/><Relationship Id="rId1" Type="http://schemas.openxmlformats.org/officeDocument/2006/relationships/drawing" Target="../drawings/drawing4.xml"/><Relationship Id="rId6" Type="http://schemas.openxmlformats.org/officeDocument/2006/relationships/table" Target="../tables/table38.xml"/><Relationship Id="rId11" Type="http://schemas.openxmlformats.org/officeDocument/2006/relationships/table" Target="../tables/table43.xml"/><Relationship Id="rId5" Type="http://schemas.openxmlformats.org/officeDocument/2006/relationships/table" Target="../tables/table37.xml"/><Relationship Id="rId10" Type="http://schemas.openxmlformats.org/officeDocument/2006/relationships/table" Target="../tables/table42.xml"/><Relationship Id="rId4" Type="http://schemas.openxmlformats.org/officeDocument/2006/relationships/table" Target="../tables/table36.xml"/><Relationship Id="rId9" Type="http://schemas.openxmlformats.org/officeDocument/2006/relationships/table" Target="../tables/table4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1.xml"/><Relationship Id="rId3" Type="http://schemas.openxmlformats.org/officeDocument/2006/relationships/table" Target="../tables/table46.xml"/><Relationship Id="rId7" Type="http://schemas.openxmlformats.org/officeDocument/2006/relationships/table" Target="../tables/table50.xml"/><Relationship Id="rId12" Type="http://schemas.openxmlformats.org/officeDocument/2006/relationships/table" Target="../tables/table55.xml"/><Relationship Id="rId2" Type="http://schemas.openxmlformats.org/officeDocument/2006/relationships/table" Target="../tables/table45.xml"/><Relationship Id="rId1" Type="http://schemas.openxmlformats.org/officeDocument/2006/relationships/drawing" Target="../drawings/drawing5.xml"/><Relationship Id="rId6" Type="http://schemas.openxmlformats.org/officeDocument/2006/relationships/table" Target="../tables/table49.xml"/><Relationship Id="rId11" Type="http://schemas.openxmlformats.org/officeDocument/2006/relationships/table" Target="../tables/table54.xml"/><Relationship Id="rId5" Type="http://schemas.openxmlformats.org/officeDocument/2006/relationships/table" Target="../tables/table48.xml"/><Relationship Id="rId10" Type="http://schemas.openxmlformats.org/officeDocument/2006/relationships/table" Target="../tables/table53.xml"/><Relationship Id="rId4" Type="http://schemas.openxmlformats.org/officeDocument/2006/relationships/table" Target="../tables/table47.xml"/><Relationship Id="rId9" Type="http://schemas.openxmlformats.org/officeDocument/2006/relationships/table" Target="../tables/table5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2.xml"/><Relationship Id="rId3" Type="http://schemas.openxmlformats.org/officeDocument/2006/relationships/table" Target="../tables/table57.xml"/><Relationship Id="rId7" Type="http://schemas.openxmlformats.org/officeDocument/2006/relationships/table" Target="../tables/table61.xml"/><Relationship Id="rId12" Type="http://schemas.openxmlformats.org/officeDocument/2006/relationships/table" Target="../tables/table66.xml"/><Relationship Id="rId2" Type="http://schemas.openxmlformats.org/officeDocument/2006/relationships/table" Target="../tables/table56.xml"/><Relationship Id="rId1" Type="http://schemas.openxmlformats.org/officeDocument/2006/relationships/drawing" Target="../drawings/drawing6.xml"/><Relationship Id="rId6" Type="http://schemas.openxmlformats.org/officeDocument/2006/relationships/table" Target="../tables/table60.xml"/><Relationship Id="rId11" Type="http://schemas.openxmlformats.org/officeDocument/2006/relationships/table" Target="../tables/table65.xml"/><Relationship Id="rId5" Type="http://schemas.openxmlformats.org/officeDocument/2006/relationships/table" Target="../tables/table59.xml"/><Relationship Id="rId10" Type="http://schemas.openxmlformats.org/officeDocument/2006/relationships/table" Target="../tables/table64.xml"/><Relationship Id="rId4" Type="http://schemas.openxmlformats.org/officeDocument/2006/relationships/table" Target="../tables/table58.xml"/><Relationship Id="rId9" Type="http://schemas.openxmlformats.org/officeDocument/2006/relationships/table" Target="../tables/table63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3.xml"/><Relationship Id="rId3" Type="http://schemas.openxmlformats.org/officeDocument/2006/relationships/table" Target="../tables/table68.xml"/><Relationship Id="rId7" Type="http://schemas.openxmlformats.org/officeDocument/2006/relationships/table" Target="../tables/table72.xml"/><Relationship Id="rId12" Type="http://schemas.openxmlformats.org/officeDocument/2006/relationships/table" Target="../tables/table77.xml"/><Relationship Id="rId2" Type="http://schemas.openxmlformats.org/officeDocument/2006/relationships/table" Target="../tables/table67.xml"/><Relationship Id="rId1" Type="http://schemas.openxmlformats.org/officeDocument/2006/relationships/drawing" Target="../drawings/drawing7.xml"/><Relationship Id="rId6" Type="http://schemas.openxmlformats.org/officeDocument/2006/relationships/table" Target="../tables/table71.xml"/><Relationship Id="rId11" Type="http://schemas.openxmlformats.org/officeDocument/2006/relationships/table" Target="../tables/table76.xml"/><Relationship Id="rId5" Type="http://schemas.openxmlformats.org/officeDocument/2006/relationships/table" Target="../tables/table70.xml"/><Relationship Id="rId10" Type="http://schemas.openxmlformats.org/officeDocument/2006/relationships/table" Target="../tables/table75.xml"/><Relationship Id="rId4" Type="http://schemas.openxmlformats.org/officeDocument/2006/relationships/table" Target="../tables/table69.xml"/><Relationship Id="rId9" Type="http://schemas.openxmlformats.org/officeDocument/2006/relationships/table" Target="../tables/table7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4.xml"/><Relationship Id="rId3" Type="http://schemas.openxmlformats.org/officeDocument/2006/relationships/table" Target="../tables/table79.xml"/><Relationship Id="rId7" Type="http://schemas.openxmlformats.org/officeDocument/2006/relationships/table" Target="../tables/table83.xml"/><Relationship Id="rId12" Type="http://schemas.openxmlformats.org/officeDocument/2006/relationships/table" Target="../tables/table88.xml"/><Relationship Id="rId2" Type="http://schemas.openxmlformats.org/officeDocument/2006/relationships/table" Target="../tables/table78.xml"/><Relationship Id="rId1" Type="http://schemas.openxmlformats.org/officeDocument/2006/relationships/drawing" Target="../drawings/drawing8.xml"/><Relationship Id="rId6" Type="http://schemas.openxmlformats.org/officeDocument/2006/relationships/table" Target="../tables/table82.xml"/><Relationship Id="rId11" Type="http://schemas.openxmlformats.org/officeDocument/2006/relationships/table" Target="../tables/table87.xml"/><Relationship Id="rId5" Type="http://schemas.openxmlformats.org/officeDocument/2006/relationships/table" Target="../tables/table81.xml"/><Relationship Id="rId10" Type="http://schemas.openxmlformats.org/officeDocument/2006/relationships/table" Target="../tables/table86.xml"/><Relationship Id="rId4" Type="http://schemas.openxmlformats.org/officeDocument/2006/relationships/table" Target="../tables/table80.xml"/><Relationship Id="rId9" Type="http://schemas.openxmlformats.org/officeDocument/2006/relationships/table" Target="../tables/table8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5.xml"/><Relationship Id="rId3" Type="http://schemas.openxmlformats.org/officeDocument/2006/relationships/table" Target="../tables/table90.xml"/><Relationship Id="rId7" Type="http://schemas.openxmlformats.org/officeDocument/2006/relationships/table" Target="../tables/table94.xml"/><Relationship Id="rId12" Type="http://schemas.openxmlformats.org/officeDocument/2006/relationships/table" Target="../tables/table99.xml"/><Relationship Id="rId2" Type="http://schemas.openxmlformats.org/officeDocument/2006/relationships/table" Target="../tables/table89.xml"/><Relationship Id="rId1" Type="http://schemas.openxmlformats.org/officeDocument/2006/relationships/drawing" Target="../drawings/drawing9.xml"/><Relationship Id="rId6" Type="http://schemas.openxmlformats.org/officeDocument/2006/relationships/table" Target="../tables/table93.xml"/><Relationship Id="rId11" Type="http://schemas.openxmlformats.org/officeDocument/2006/relationships/table" Target="../tables/table98.xml"/><Relationship Id="rId5" Type="http://schemas.openxmlformats.org/officeDocument/2006/relationships/table" Target="../tables/table92.xml"/><Relationship Id="rId10" Type="http://schemas.openxmlformats.org/officeDocument/2006/relationships/table" Target="../tables/table97.xml"/><Relationship Id="rId4" Type="http://schemas.openxmlformats.org/officeDocument/2006/relationships/table" Target="../tables/table91.xml"/><Relationship Id="rId9" Type="http://schemas.openxmlformats.org/officeDocument/2006/relationships/table" Target="../tables/table9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17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17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Table1[Projected Cost]-Table1[Actual Cost]</f>
        <v>0</v>
      </c>
      <c r="F12" s="15"/>
      <c r="G12" s="26" t="s">
        <v>29</v>
      </c>
      <c r="H12" s="22"/>
      <c r="I12" s="22"/>
      <c r="J12" s="23">
        <f>Table2[Projected Cost]-Table2[Actual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Table1[Projected Cost]-Table1[Actual Cost]</f>
        <v>0</v>
      </c>
      <c r="F13" s="15"/>
      <c r="G13" s="26" t="s">
        <v>72</v>
      </c>
      <c r="H13" s="22"/>
      <c r="I13" s="22"/>
      <c r="J13" s="23">
        <f>Table2[Projected Cost]-Table2[Actual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Table1[Projected Cost]-Table1[Actual Cost]</f>
        <v>0</v>
      </c>
      <c r="F14" s="15"/>
      <c r="G14" s="26" t="s">
        <v>30</v>
      </c>
      <c r="H14" s="22"/>
      <c r="I14" s="22"/>
      <c r="J14" s="23">
        <f>Table2[Projected Cost]-Table2[Actual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Table1[Projected Cost]-Table1[Actual Cost]</f>
        <v>0</v>
      </c>
      <c r="F15" s="15"/>
      <c r="G15" s="26" t="s">
        <v>31</v>
      </c>
      <c r="H15" s="22"/>
      <c r="I15" s="22"/>
      <c r="J15" s="23">
        <f>Table2[Projected Cost]-Table2[Actual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Table1[Projected Cost]-Table1[Actual Cost]</f>
        <v>0</v>
      </c>
      <c r="F16" s="15"/>
      <c r="G16" s="26" t="s">
        <v>49</v>
      </c>
      <c r="H16" s="22"/>
      <c r="I16" s="22"/>
      <c r="J16" s="23">
        <f>Table2[Projected Cost]-Table2[Actual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Table1[Projected Cost]-Table1[Actual Cost]</f>
        <v>0</v>
      </c>
      <c r="F17" s="15"/>
      <c r="G17" s="26" t="s">
        <v>32</v>
      </c>
      <c r="H17" s="22"/>
      <c r="I17" s="22"/>
      <c r="J17" s="23">
        <f>Table2[Projected Cost]-Table2[Actual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Table1[Projected Cost]-Table1[Actual Cost]</f>
        <v>0</v>
      </c>
      <c r="F18" s="15"/>
      <c r="G18" s="26" t="s">
        <v>12</v>
      </c>
      <c r="H18" s="22"/>
      <c r="I18" s="22"/>
      <c r="J18" s="23">
        <f>Table2[Projected Cost]-Table2[Actual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Table1[Projected Cost]-Table1[Actual Cost]</f>
        <v>0</v>
      </c>
      <c r="F19" s="15"/>
      <c r="G19" s="26" t="s">
        <v>12</v>
      </c>
      <c r="H19" s="22"/>
      <c r="I19" s="22"/>
      <c r="J19" s="23">
        <f>Table2[Projected Cost]-Table2[Actual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Table1[Projected Cost]-Table1[Actual Cost]</f>
        <v>0</v>
      </c>
      <c r="F20" s="15"/>
      <c r="G20" s="26" t="s">
        <v>12</v>
      </c>
      <c r="H20" s="22"/>
      <c r="I20" s="22"/>
      <c r="J20" s="23">
        <f>Table2[Projected Cost]-Table2[Actual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Table1[Projected Cost]-Table1[Actual Cost]</f>
        <v>0</v>
      </c>
      <c r="F21" s="15"/>
      <c r="G21" s="19" t="s">
        <v>68</v>
      </c>
      <c r="H21" s="24">
        <f>SUBTOTAL(109,Table2[Projected Cost])</f>
        <v>0</v>
      </c>
      <c r="I21" s="22">
        <f>SUBTOTAL(109,Table2[Actual Cost])</f>
        <v>0</v>
      </c>
      <c r="J21" s="25">
        <f>SUBTOTAL(109,Table2[Difference])</f>
        <v>0</v>
      </c>
    </row>
    <row r="22" spans="1:10" ht="15.75" customHeight="1" x14ac:dyDescent="0.2">
      <c r="A22" s="2"/>
      <c r="B22" s="19" t="s">
        <v>68</v>
      </c>
      <c r="C22" s="22">
        <f>SUBTOTAL(109,Table1[Projected Cost])</f>
        <v>0</v>
      </c>
      <c r="D22" s="22">
        <f>SUBTOTAL(109,Table1[Actual Cost])</f>
        <v>0</v>
      </c>
      <c r="E22" s="25">
        <f>SUBTOTAL(109,Table1[Difference])</f>
        <v>0</v>
      </c>
      <c r="F22" s="15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15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15"/>
      <c r="G24" s="26" t="s">
        <v>34</v>
      </c>
      <c r="H24" s="22"/>
      <c r="I24" s="22"/>
      <c r="J24" s="23">
        <f>Table8[Projected Cost]-Table8[Actual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Table3[Projected Cost]-Table3[Actual Cost]</f>
        <v>0</v>
      </c>
      <c r="F25" s="15"/>
      <c r="G25" s="26" t="s">
        <v>41</v>
      </c>
      <c r="H25" s="22"/>
      <c r="I25" s="22"/>
      <c r="J25" s="23">
        <f>Table8[Projected Cost]-Table8[Actual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Table3[Projected Cost]-Table3[Actual Cost]</f>
        <v>0</v>
      </c>
      <c r="F26" s="15"/>
      <c r="G26" s="26" t="s">
        <v>50</v>
      </c>
      <c r="H26" s="22"/>
      <c r="I26" s="22"/>
      <c r="J26" s="23">
        <f>Table8[Projected Cost]-Table8[Actual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Table3[Projected Cost]-Table3[Actual Cost]</f>
        <v>0</v>
      </c>
      <c r="F27" s="15"/>
      <c r="G27" s="26" t="s">
        <v>50</v>
      </c>
      <c r="H27" s="22"/>
      <c r="I27" s="22"/>
      <c r="J27" s="23">
        <f>Table8[Projected Cost]-Table8[Actual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Table3[Projected Cost]-Table3[Actual Cost]</f>
        <v>0</v>
      </c>
      <c r="F28" s="15"/>
      <c r="G28" s="26" t="s">
        <v>50</v>
      </c>
      <c r="H28" s="22"/>
      <c r="I28" s="22"/>
      <c r="J28" s="23">
        <f>Table8[Projected Cost]-Table8[Actual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Table3[Projected Cost]-Table3[Actual Cost]</f>
        <v>0</v>
      </c>
      <c r="F29" s="15"/>
      <c r="G29" s="26" t="s">
        <v>12</v>
      </c>
      <c r="H29" s="22"/>
      <c r="I29" s="22"/>
      <c r="J29" s="23">
        <f>Table8[Projected Cost]-Table8[Actual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Table3[Projected Cost]-Table3[Actual Cost]</f>
        <v>0</v>
      </c>
      <c r="F30" s="15"/>
      <c r="G30" s="19" t="s">
        <v>68</v>
      </c>
      <c r="H30" s="22">
        <f>SUBTOTAL(109,Table8[Projected Cost])</f>
        <v>0</v>
      </c>
      <c r="I30" s="22">
        <f>SUBTOTAL(109,Table8[Actual Cost])</f>
        <v>0</v>
      </c>
      <c r="J30" s="25">
        <f>SUBTOTAL(109,Table8[Difference])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Table3[Projected Cost]-Table3[Actual Cost]</f>
        <v>0</v>
      </c>
      <c r="F31" s="15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SUBTOTAL(109,Table3[Projected Cost])</f>
        <v>0</v>
      </c>
      <c r="D32" s="22">
        <f>SUBTOTAL(109,Table3[Actual Cost])</f>
        <v>0</v>
      </c>
      <c r="E32" s="25">
        <f>SUBTOTAL(109,Table3[Difference])</f>
        <v>0</v>
      </c>
      <c r="F32" s="15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15"/>
      <c r="G33" s="26" t="s">
        <v>35</v>
      </c>
      <c r="H33" s="22"/>
      <c r="I33" s="22"/>
      <c r="J33" s="23">
        <f>Table9[Projected Cost]-Table9[Actual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15"/>
      <c r="G34" s="26" t="s">
        <v>36</v>
      </c>
      <c r="H34" s="22"/>
      <c r="I34" s="22"/>
      <c r="J34" s="23">
        <f>Table9[Projected Cost]-Table9[Actual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Table4[Projected Cost]-Table4[Actual Cost]</f>
        <v>0</v>
      </c>
      <c r="F35" s="15"/>
      <c r="G35" s="26" t="s">
        <v>37</v>
      </c>
      <c r="H35" s="22"/>
      <c r="I35" s="22"/>
      <c r="J35" s="23">
        <f>Table9[Projected Cost]-Table9[Actual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Table4[Projected Cost]-Table4[Actual Cost]</f>
        <v>0</v>
      </c>
      <c r="F36" s="15"/>
      <c r="G36" s="26" t="s">
        <v>12</v>
      </c>
      <c r="H36" s="22"/>
      <c r="I36" s="22"/>
      <c r="J36" s="23">
        <f>Table9[Projected Cost]-Table9[Actual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Table4[Projected Cost]-Table4[Actual Cost]</f>
        <v>0</v>
      </c>
      <c r="F37" s="15"/>
      <c r="G37" s="19" t="s">
        <v>68</v>
      </c>
      <c r="H37" s="22">
        <f>SUBTOTAL(109,Table9[Projected Cost])</f>
        <v>0</v>
      </c>
      <c r="I37" s="22">
        <f>SUBTOTAL(109,Table9[Actual Cost])</f>
        <v>0</v>
      </c>
      <c r="J37" s="25">
        <f>SUBTOTAL(109,Table9[Difference])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Table4[Projected Cost]-Table4[Actual Cost]</f>
        <v>0</v>
      </c>
      <c r="F38" s="15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SUBTOTAL(109,Table4[Projected Cost])</f>
        <v>0</v>
      </c>
      <c r="D39" s="22">
        <f>SUBTOTAL(109,Table4[Actual Cost])</f>
        <v>0</v>
      </c>
      <c r="E39" s="25">
        <f>SUBTOTAL(109,Table4[Difference])</f>
        <v>0</v>
      </c>
      <c r="F39" s="15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15"/>
      <c r="G40" s="26" t="s">
        <v>51</v>
      </c>
      <c r="H40" s="22"/>
      <c r="I40" s="22"/>
      <c r="J40" s="23">
        <f>Table10[Projected Cost]-Table10[Actual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15"/>
      <c r="G41" s="26" t="s">
        <v>52</v>
      </c>
      <c r="H41" s="22"/>
      <c r="I41" s="22"/>
      <c r="J41" s="23">
        <f>Table10[Projected Cost]-Table10[Actual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Table5[Projected Cost]-Table5[Actual Cost]</f>
        <v>0</v>
      </c>
      <c r="F42" s="15"/>
      <c r="G42" s="26" t="s">
        <v>12</v>
      </c>
      <c r="H42" s="22"/>
      <c r="I42" s="22"/>
      <c r="J42" s="23">
        <f>Table10[Projected Cost]-Table10[Actual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Table5[Projected Cost]-Table5[Actual Cost]</f>
        <v>0</v>
      </c>
      <c r="F43" s="15"/>
      <c r="G43" s="19" t="s">
        <v>68</v>
      </c>
      <c r="H43" s="22">
        <f>SUBTOTAL(109,Table10[Projected Cost])</f>
        <v>0</v>
      </c>
      <c r="I43" s="22">
        <f>SUBTOTAL(109,Table10[Actual Cost])</f>
        <v>0</v>
      </c>
      <c r="J43" s="25">
        <f>SUBTOTAL(109,Table10[Difference])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Table5[Projected Cost]-Table5[Actual Cost]</f>
        <v>0</v>
      </c>
      <c r="F44" s="15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SUBTOTAL(109,Table5[Projected Cost])</f>
        <v>0</v>
      </c>
      <c r="D45" s="22">
        <f>SUBTOTAL(109,Table5[Actual Cost])</f>
        <v>0</v>
      </c>
      <c r="E45" s="25">
        <f>SUBTOTAL(109,Table5[Difference])</f>
        <v>0</v>
      </c>
      <c r="F45" s="15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15"/>
      <c r="G46" s="26" t="s">
        <v>38</v>
      </c>
      <c r="H46" s="22"/>
      <c r="I46" s="22"/>
      <c r="J46" s="23">
        <f>Table11[Projected Cost]-Table11[Actual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15"/>
      <c r="G47" s="26" t="s">
        <v>39</v>
      </c>
      <c r="H47" s="22"/>
      <c r="I47" s="22"/>
      <c r="J47" s="23">
        <f>Table11[Projected Cost]-Table11[Actual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Table6[Projected Cost]-Table6[Actual Cost]</f>
        <v>0</v>
      </c>
      <c r="F48" s="15"/>
      <c r="G48" s="26" t="s">
        <v>45</v>
      </c>
      <c r="H48" s="22"/>
      <c r="I48" s="22"/>
      <c r="J48" s="23">
        <f>Table11[Projected Cost]-Table11[Actual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Table6[Projected Cost]-Table6[Actual Cost]</f>
        <v>0</v>
      </c>
      <c r="F49" s="15"/>
      <c r="G49" s="19" t="s">
        <v>68</v>
      </c>
      <c r="H49" s="22">
        <f>SUBTOTAL(109,Table11[Projected Cost])</f>
        <v>0</v>
      </c>
      <c r="I49" s="22">
        <f>SUBTOTAL(109,Table11[Actual Cost])</f>
        <v>0</v>
      </c>
      <c r="J49" s="25">
        <f>SUBTOTAL(109,Table11[Difference])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Table6[Projected Cost]-Table6[Actual Cost]</f>
        <v>0</v>
      </c>
      <c r="F50" s="15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Table6[Projected Cost]-Table6[Actual Cost]</f>
        <v>0</v>
      </c>
      <c r="F51" s="15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Table6[Projected Cost]-Table6[Actual Cost]</f>
        <v>0</v>
      </c>
      <c r="F52" s="15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SUBTOTAL(109,Table6[Projected Cost])</f>
        <v>0</v>
      </c>
      <c r="D53" s="22">
        <f>SUBTOTAL(109,Table6[Actual Cost])</f>
        <v>0</v>
      </c>
      <c r="E53" s="25">
        <f>SUBTOTAL(109,Table6[Difference])</f>
        <v>0</v>
      </c>
      <c r="F53" s="15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15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15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Table7[Projected Cost]-Table7[Actual Cost]</f>
        <v>0</v>
      </c>
      <c r="F56" s="15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Table7[Projected Cost]-Table7[Actual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Table7[Projected Cost]-Table7[Actual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Table7[Projected Cost]-Table7[Actual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Table7[Projected Cost]-Table7[Actual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Table7[Projected Cost]-Table7[Actual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Table7[Projected Cost]-Table7[Actual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SUBTOTAL(109,Table7[Projected Cost])</f>
        <v>0</v>
      </c>
      <c r="D63" s="22">
        <f>SUBTOTAL(109,Table7[Actual Cost])</f>
        <v>0</v>
      </c>
      <c r="E63" s="25">
        <f>SUBTOTAL(109,Table7[Difference])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J55:J56"/>
    <mergeCell ref="G55:I56"/>
    <mergeCell ref="J53:J54"/>
    <mergeCell ref="G53:I54"/>
    <mergeCell ref="G51:I52"/>
    <mergeCell ref="J51:J52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C5:D5"/>
    <mergeCell ref="B54:E54"/>
    <mergeCell ref="G22:J22"/>
    <mergeCell ref="G31:J31"/>
    <mergeCell ref="G38:J38"/>
    <mergeCell ref="G44:J44"/>
    <mergeCell ref="G50:J50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">
    <cfRule type="iconSet" priority="2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Table1101[Projected Cost]-Table1101[Actual Cost]</f>
        <v>0</v>
      </c>
      <c r="F12" s="27"/>
      <c r="G12" s="26" t="s">
        <v>29</v>
      </c>
      <c r="H12" s="22"/>
      <c r="I12" s="22"/>
      <c r="J12" s="23">
        <f>Table2111[Projected Cost]-Table2111[Actual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Table1101[Projected Cost]-Table1101[Actual Cost]</f>
        <v>0</v>
      </c>
      <c r="F13" s="27"/>
      <c r="G13" s="26" t="s">
        <v>72</v>
      </c>
      <c r="H13" s="22"/>
      <c r="I13" s="22"/>
      <c r="J13" s="23">
        <f>Table2111[Projected Cost]-Table2111[Actual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Table1101[Projected Cost]-Table1101[Actual Cost]</f>
        <v>0</v>
      </c>
      <c r="F14" s="27"/>
      <c r="G14" s="26" t="s">
        <v>30</v>
      </c>
      <c r="H14" s="22"/>
      <c r="I14" s="22"/>
      <c r="J14" s="23">
        <f>Table2111[Projected Cost]-Table2111[Actual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Table1101[Projected Cost]-Table1101[Actual Cost]</f>
        <v>0</v>
      </c>
      <c r="F15" s="27"/>
      <c r="G15" s="26" t="s">
        <v>31</v>
      </c>
      <c r="H15" s="22"/>
      <c r="I15" s="22"/>
      <c r="J15" s="23">
        <f>Table2111[Projected Cost]-Table2111[Actual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Table1101[Projected Cost]-Table1101[Actual Cost]</f>
        <v>0</v>
      </c>
      <c r="F16" s="27"/>
      <c r="G16" s="26" t="s">
        <v>49</v>
      </c>
      <c r="H16" s="22"/>
      <c r="I16" s="22"/>
      <c r="J16" s="23">
        <f>Table2111[Projected Cost]-Table2111[Actual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Table1101[Projected Cost]-Table1101[Actual Cost]</f>
        <v>0</v>
      </c>
      <c r="F17" s="27"/>
      <c r="G17" s="26" t="s">
        <v>32</v>
      </c>
      <c r="H17" s="22"/>
      <c r="I17" s="22"/>
      <c r="J17" s="23">
        <f>Table2111[Projected Cost]-Table2111[Actual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Table1101[Projected Cost]-Table1101[Actual Cost]</f>
        <v>0</v>
      </c>
      <c r="F18" s="27"/>
      <c r="G18" s="26" t="s">
        <v>12</v>
      </c>
      <c r="H18" s="22"/>
      <c r="I18" s="22"/>
      <c r="J18" s="23">
        <f>Table2111[Projected Cost]-Table2111[Actual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Table1101[Projected Cost]-Table1101[Actual Cost]</f>
        <v>0</v>
      </c>
      <c r="F19" s="27"/>
      <c r="G19" s="26" t="s">
        <v>12</v>
      </c>
      <c r="H19" s="22"/>
      <c r="I19" s="22"/>
      <c r="J19" s="23">
        <f>Table2111[Projected Cost]-Table2111[Actual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Table1101[Projected Cost]-Table1101[Actual Cost]</f>
        <v>0</v>
      </c>
      <c r="F20" s="27"/>
      <c r="G20" s="26" t="s">
        <v>12</v>
      </c>
      <c r="H20" s="22"/>
      <c r="I20" s="22"/>
      <c r="J20" s="23">
        <f>Table2111[Projected Cost]-Table2111[Actual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Table1101[Projected Cost]-Table1101[Actual Cost]</f>
        <v>0</v>
      </c>
      <c r="F21" s="27"/>
      <c r="G21" s="19" t="s">
        <v>68</v>
      </c>
      <c r="H21" s="24">
        <f>SUBTOTAL(109,Table2111[Projected Cost])</f>
        <v>0</v>
      </c>
      <c r="I21" s="22">
        <f>SUBTOTAL(109,Table2111[Actual Cost])</f>
        <v>0</v>
      </c>
      <c r="J21" s="25">
        <f>SUBTOTAL(109,Table2111[Difference])</f>
        <v>0</v>
      </c>
    </row>
    <row r="22" spans="1:10" ht="15.75" customHeight="1" x14ac:dyDescent="0.2">
      <c r="A22" s="2"/>
      <c r="B22" s="19" t="s">
        <v>68</v>
      </c>
      <c r="C22" s="22">
        <f>SUBTOTAL(109,Table1101[Projected Cost])</f>
        <v>0</v>
      </c>
      <c r="D22" s="22">
        <f>SUBTOTAL(109,Table1101[Actual Cost])</f>
        <v>0</v>
      </c>
      <c r="E22" s="25">
        <f>SUBTOTAL(109,Table1101[Difference])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Table8108[Projected Cost]-Table8108[Actual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Table3107[Projected Cost]-Table3107[Actual Cost]</f>
        <v>0</v>
      </c>
      <c r="F25" s="27"/>
      <c r="G25" s="26" t="s">
        <v>41</v>
      </c>
      <c r="H25" s="22"/>
      <c r="I25" s="22"/>
      <c r="J25" s="23">
        <f>Table8108[Projected Cost]-Table8108[Actual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Table3107[Projected Cost]-Table3107[Actual Cost]</f>
        <v>0</v>
      </c>
      <c r="F26" s="27"/>
      <c r="G26" s="26" t="s">
        <v>50</v>
      </c>
      <c r="H26" s="22"/>
      <c r="I26" s="22"/>
      <c r="J26" s="23">
        <f>Table8108[Projected Cost]-Table8108[Actual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Table3107[Projected Cost]-Table3107[Actual Cost]</f>
        <v>0</v>
      </c>
      <c r="F27" s="27"/>
      <c r="G27" s="26" t="s">
        <v>50</v>
      </c>
      <c r="H27" s="22"/>
      <c r="I27" s="22"/>
      <c r="J27" s="23">
        <f>Table8108[Projected Cost]-Table8108[Actual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Table3107[Projected Cost]-Table3107[Actual Cost]</f>
        <v>0</v>
      </c>
      <c r="F28" s="27"/>
      <c r="G28" s="26" t="s">
        <v>50</v>
      </c>
      <c r="H28" s="22"/>
      <c r="I28" s="22"/>
      <c r="J28" s="23">
        <f>Table8108[Projected Cost]-Table8108[Actual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Table3107[Projected Cost]-Table3107[Actual Cost]</f>
        <v>0</v>
      </c>
      <c r="F29" s="27"/>
      <c r="G29" s="26" t="s">
        <v>12</v>
      </c>
      <c r="H29" s="22"/>
      <c r="I29" s="22"/>
      <c r="J29" s="23">
        <f>Table8108[Projected Cost]-Table8108[Actual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Table3107[Projected Cost]-Table3107[Actual Cost]</f>
        <v>0</v>
      </c>
      <c r="F30" s="27"/>
      <c r="G30" s="19" t="s">
        <v>68</v>
      </c>
      <c r="H30" s="22">
        <f>SUBTOTAL(109,Table8108[Projected Cost])</f>
        <v>0</v>
      </c>
      <c r="I30" s="22">
        <f>SUBTOTAL(109,Table8108[Actual Cost])</f>
        <v>0</v>
      </c>
      <c r="J30" s="25">
        <f>SUBTOTAL(109,Table8108[Difference])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Table3107[Projected Cost]-Table3107[Actual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SUBTOTAL(109,Table3107[Projected Cost])</f>
        <v>0</v>
      </c>
      <c r="D32" s="22">
        <f>SUBTOTAL(109,Table3107[Actual Cost])</f>
        <v>0</v>
      </c>
      <c r="E32" s="25">
        <f>SUBTOTAL(109,Table3107[Difference])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Table9106[Projected Cost]-Table9106[Actual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Table9106[Projected Cost]-Table9106[Actual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Table4102[Projected Cost]-Table4102[Actual Cost]</f>
        <v>0</v>
      </c>
      <c r="F35" s="27"/>
      <c r="G35" s="26" t="s">
        <v>37</v>
      </c>
      <c r="H35" s="22"/>
      <c r="I35" s="22"/>
      <c r="J35" s="23">
        <f>Table9106[Projected Cost]-Table9106[Actual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Table4102[Projected Cost]-Table4102[Actual Cost]</f>
        <v>0</v>
      </c>
      <c r="F36" s="27"/>
      <c r="G36" s="26" t="s">
        <v>12</v>
      </c>
      <c r="H36" s="22"/>
      <c r="I36" s="22"/>
      <c r="J36" s="23">
        <f>Table9106[Projected Cost]-Table9106[Actual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Table4102[Projected Cost]-Table4102[Actual Cost]</f>
        <v>0</v>
      </c>
      <c r="F37" s="27"/>
      <c r="G37" s="19" t="s">
        <v>68</v>
      </c>
      <c r="H37" s="22">
        <f>SUBTOTAL(109,Table9106[Projected Cost])</f>
        <v>0</v>
      </c>
      <c r="I37" s="22">
        <f>SUBTOTAL(109,Table9106[Actual Cost])</f>
        <v>0</v>
      </c>
      <c r="J37" s="25">
        <f>SUBTOTAL(109,Table9106[Difference])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Table4102[Projected Cost]-Table4102[Actual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SUBTOTAL(109,Table4102[Projected Cost])</f>
        <v>0</v>
      </c>
      <c r="D39" s="22">
        <f>SUBTOTAL(109,Table4102[Actual Cost])</f>
        <v>0</v>
      </c>
      <c r="E39" s="25">
        <f>SUBTOTAL(109,Table4102[Difference])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Table10109[Projected Cost]-Table10109[Actual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Table10109[Projected Cost]-Table10109[Actual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Table5105[Projected Cost]-Table5105[Actual Cost]</f>
        <v>0</v>
      </c>
      <c r="F42" s="27"/>
      <c r="G42" s="26" t="s">
        <v>12</v>
      </c>
      <c r="H42" s="22"/>
      <c r="I42" s="22"/>
      <c r="J42" s="23">
        <f>Table10109[Projected Cost]-Table10109[Actual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Table5105[Projected Cost]-Table5105[Actual Cost]</f>
        <v>0</v>
      </c>
      <c r="F43" s="27"/>
      <c r="G43" s="19" t="s">
        <v>68</v>
      </c>
      <c r="H43" s="22">
        <f>SUBTOTAL(109,Table10109[Projected Cost])</f>
        <v>0</v>
      </c>
      <c r="I43" s="22">
        <f>SUBTOTAL(109,Table10109[Actual Cost])</f>
        <v>0</v>
      </c>
      <c r="J43" s="25">
        <f>SUBTOTAL(109,Table10109[Difference])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Table5105[Projected Cost]-Table5105[Actual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SUBTOTAL(109,Table5105[Projected Cost])</f>
        <v>0</v>
      </c>
      <c r="D45" s="22">
        <f>SUBTOTAL(109,Table5105[Actual Cost])</f>
        <v>0</v>
      </c>
      <c r="E45" s="25">
        <f>SUBTOTAL(109,Table5105[Difference])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Table11104[Projected Cost]-Table11104[Actual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Table11104[Projected Cost]-Table11104[Actual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Table6103[Projected Cost]-Table6103[Actual Cost]</f>
        <v>0</v>
      </c>
      <c r="F48" s="27"/>
      <c r="G48" s="26" t="s">
        <v>45</v>
      </c>
      <c r="H48" s="22"/>
      <c r="I48" s="22"/>
      <c r="J48" s="23">
        <f>Table11104[Projected Cost]-Table11104[Actual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Table6103[Projected Cost]-Table6103[Actual Cost]</f>
        <v>0</v>
      </c>
      <c r="F49" s="27"/>
      <c r="G49" s="19" t="s">
        <v>68</v>
      </c>
      <c r="H49" s="22">
        <f>SUBTOTAL(109,Table11104[Projected Cost])</f>
        <v>0</v>
      </c>
      <c r="I49" s="22">
        <f>SUBTOTAL(109,Table11104[Actual Cost])</f>
        <v>0</v>
      </c>
      <c r="J49" s="25">
        <f>SUBTOTAL(109,Table11104[Difference])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Table6103[Projected Cost]-Table6103[Actual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Table6103[Projected Cost]-Table6103[Actual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Table6103[Projected Cost]-Table6103[Actual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SUBTOTAL(109,Table6103[Projected Cost])</f>
        <v>0</v>
      </c>
      <c r="D53" s="22">
        <f>SUBTOTAL(109,Table6103[Actual Cost])</f>
        <v>0</v>
      </c>
      <c r="E53" s="25">
        <f>SUBTOTAL(109,Table6103[Difference])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Table7110[Projected Cost]-Table7110[Actual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Table7110[Projected Cost]-Table7110[Actual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Table7110[Projected Cost]-Table7110[Actual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Table7110[Projected Cost]-Table7110[Actual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Table7110[Projected Cost]-Table7110[Actual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Table7110[Projected Cost]-Table7110[Actual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Table7110[Projected Cost]-Table7110[Actual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SUBTOTAL(109,Table7110[Projected Cost])</f>
        <v>0</v>
      </c>
      <c r="D63" s="22">
        <f>SUBTOTAL(109,Table7110[Actual Cost])</f>
        <v>0</v>
      </c>
      <c r="E63" s="25">
        <f>SUBTOTAL(109,Table7110[Difference])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Table1112[Projected Cost]-Table1112[Actual Cost]</f>
        <v>0</v>
      </c>
      <c r="F12" s="27"/>
      <c r="G12" s="26" t="s">
        <v>29</v>
      </c>
      <c r="H12" s="22"/>
      <c r="I12" s="22"/>
      <c r="J12" s="23">
        <f>Table2122[Projected Cost]-Table2122[Actual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Table1112[Projected Cost]-Table1112[Actual Cost]</f>
        <v>0</v>
      </c>
      <c r="F13" s="27"/>
      <c r="G13" s="26" t="s">
        <v>72</v>
      </c>
      <c r="H13" s="22"/>
      <c r="I13" s="22"/>
      <c r="J13" s="23">
        <f>Table2122[Projected Cost]-Table2122[Actual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Table1112[Projected Cost]-Table1112[Actual Cost]</f>
        <v>0</v>
      </c>
      <c r="F14" s="27"/>
      <c r="G14" s="26" t="s">
        <v>30</v>
      </c>
      <c r="H14" s="22"/>
      <c r="I14" s="22"/>
      <c r="J14" s="23">
        <f>Table2122[Projected Cost]-Table2122[Actual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Table1112[Projected Cost]-Table1112[Actual Cost]</f>
        <v>0</v>
      </c>
      <c r="F15" s="27"/>
      <c r="G15" s="26" t="s">
        <v>31</v>
      </c>
      <c r="H15" s="22"/>
      <c r="I15" s="22"/>
      <c r="J15" s="23">
        <f>Table2122[Projected Cost]-Table2122[Actual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Table1112[Projected Cost]-Table1112[Actual Cost]</f>
        <v>0</v>
      </c>
      <c r="F16" s="27"/>
      <c r="G16" s="26" t="s">
        <v>49</v>
      </c>
      <c r="H16" s="22"/>
      <c r="I16" s="22"/>
      <c r="J16" s="23">
        <f>Table2122[Projected Cost]-Table2122[Actual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Table1112[Projected Cost]-Table1112[Actual Cost]</f>
        <v>0</v>
      </c>
      <c r="F17" s="27"/>
      <c r="G17" s="26" t="s">
        <v>32</v>
      </c>
      <c r="H17" s="22"/>
      <c r="I17" s="22"/>
      <c r="J17" s="23">
        <f>Table2122[Projected Cost]-Table2122[Actual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Table1112[Projected Cost]-Table1112[Actual Cost]</f>
        <v>0</v>
      </c>
      <c r="F18" s="27"/>
      <c r="G18" s="26" t="s">
        <v>12</v>
      </c>
      <c r="H18" s="22"/>
      <c r="I18" s="22"/>
      <c r="J18" s="23">
        <f>Table2122[Projected Cost]-Table2122[Actual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Table1112[Projected Cost]-Table1112[Actual Cost]</f>
        <v>0</v>
      </c>
      <c r="F19" s="27"/>
      <c r="G19" s="26" t="s">
        <v>12</v>
      </c>
      <c r="H19" s="22"/>
      <c r="I19" s="22"/>
      <c r="J19" s="23">
        <f>Table2122[Projected Cost]-Table2122[Actual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Table1112[Projected Cost]-Table1112[Actual Cost]</f>
        <v>0</v>
      </c>
      <c r="F20" s="27"/>
      <c r="G20" s="26" t="s">
        <v>12</v>
      </c>
      <c r="H20" s="22"/>
      <c r="I20" s="22"/>
      <c r="J20" s="23">
        <f>Table2122[Projected Cost]-Table2122[Actual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Table1112[Projected Cost]-Table1112[Actual Cost]</f>
        <v>0</v>
      </c>
      <c r="F21" s="27"/>
      <c r="G21" s="19" t="s">
        <v>68</v>
      </c>
      <c r="H21" s="24">
        <f>SUBTOTAL(109,Table2122[Projected Cost])</f>
        <v>0</v>
      </c>
      <c r="I21" s="22">
        <f>SUBTOTAL(109,Table2122[Actual Cost])</f>
        <v>0</v>
      </c>
      <c r="J21" s="25">
        <f>SUBTOTAL(109,Table2122[Difference])</f>
        <v>0</v>
      </c>
    </row>
    <row r="22" spans="1:10" ht="15.75" customHeight="1" x14ac:dyDescent="0.2">
      <c r="A22" s="2"/>
      <c r="B22" s="19" t="s">
        <v>68</v>
      </c>
      <c r="C22" s="22">
        <f>SUBTOTAL(109,Table1112[Projected Cost])</f>
        <v>0</v>
      </c>
      <c r="D22" s="22">
        <f>SUBTOTAL(109,Table1112[Actual Cost])</f>
        <v>0</v>
      </c>
      <c r="E22" s="25">
        <f>SUBTOTAL(109,Table1112[Difference])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Table8119[Projected Cost]-Table8119[Actual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Table3118[Projected Cost]-Table3118[Actual Cost]</f>
        <v>0</v>
      </c>
      <c r="F25" s="27"/>
      <c r="G25" s="26" t="s">
        <v>41</v>
      </c>
      <c r="H25" s="22"/>
      <c r="I25" s="22"/>
      <c r="J25" s="23">
        <f>Table8119[Projected Cost]-Table8119[Actual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Table3118[Projected Cost]-Table3118[Actual Cost]</f>
        <v>0</v>
      </c>
      <c r="F26" s="27"/>
      <c r="G26" s="26" t="s">
        <v>50</v>
      </c>
      <c r="H26" s="22"/>
      <c r="I26" s="22"/>
      <c r="J26" s="23">
        <f>Table8119[Projected Cost]-Table8119[Actual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Table3118[Projected Cost]-Table3118[Actual Cost]</f>
        <v>0</v>
      </c>
      <c r="F27" s="27"/>
      <c r="G27" s="26" t="s">
        <v>50</v>
      </c>
      <c r="H27" s="22"/>
      <c r="I27" s="22"/>
      <c r="J27" s="23">
        <f>Table8119[Projected Cost]-Table8119[Actual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Table3118[Projected Cost]-Table3118[Actual Cost]</f>
        <v>0</v>
      </c>
      <c r="F28" s="27"/>
      <c r="G28" s="26" t="s">
        <v>50</v>
      </c>
      <c r="H28" s="22"/>
      <c r="I28" s="22"/>
      <c r="J28" s="23">
        <f>Table8119[Projected Cost]-Table8119[Actual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Table3118[Projected Cost]-Table3118[Actual Cost]</f>
        <v>0</v>
      </c>
      <c r="F29" s="27"/>
      <c r="G29" s="26" t="s">
        <v>12</v>
      </c>
      <c r="H29" s="22"/>
      <c r="I29" s="22"/>
      <c r="J29" s="23">
        <f>Table8119[Projected Cost]-Table8119[Actual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Table3118[Projected Cost]-Table3118[Actual Cost]</f>
        <v>0</v>
      </c>
      <c r="F30" s="27"/>
      <c r="G30" s="19" t="s">
        <v>68</v>
      </c>
      <c r="H30" s="22">
        <f>SUBTOTAL(109,Table8119[Projected Cost])</f>
        <v>0</v>
      </c>
      <c r="I30" s="22">
        <f>SUBTOTAL(109,Table8119[Actual Cost])</f>
        <v>0</v>
      </c>
      <c r="J30" s="25">
        <f>SUBTOTAL(109,Table8119[Difference])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Table3118[Projected Cost]-Table3118[Actual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SUBTOTAL(109,Table3118[Projected Cost])</f>
        <v>0</v>
      </c>
      <c r="D32" s="22">
        <f>SUBTOTAL(109,Table3118[Actual Cost])</f>
        <v>0</v>
      </c>
      <c r="E32" s="25">
        <f>SUBTOTAL(109,Table3118[Difference])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Table9117[Projected Cost]-Table9117[Actual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Table9117[Projected Cost]-Table9117[Actual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Table4113[Projected Cost]-Table4113[Actual Cost]</f>
        <v>0</v>
      </c>
      <c r="F35" s="27"/>
      <c r="G35" s="26" t="s">
        <v>37</v>
      </c>
      <c r="H35" s="22"/>
      <c r="I35" s="22"/>
      <c r="J35" s="23">
        <f>Table9117[Projected Cost]-Table9117[Actual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Table4113[Projected Cost]-Table4113[Actual Cost]</f>
        <v>0</v>
      </c>
      <c r="F36" s="27"/>
      <c r="G36" s="26" t="s">
        <v>12</v>
      </c>
      <c r="H36" s="22"/>
      <c r="I36" s="22"/>
      <c r="J36" s="23">
        <f>Table9117[Projected Cost]-Table9117[Actual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Table4113[Projected Cost]-Table4113[Actual Cost]</f>
        <v>0</v>
      </c>
      <c r="F37" s="27"/>
      <c r="G37" s="19" t="s">
        <v>68</v>
      </c>
      <c r="H37" s="22">
        <f>SUBTOTAL(109,Table9117[Projected Cost])</f>
        <v>0</v>
      </c>
      <c r="I37" s="22">
        <f>SUBTOTAL(109,Table9117[Actual Cost])</f>
        <v>0</v>
      </c>
      <c r="J37" s="25">
        <f>SUBTOTAL(109,Table9117[Difference])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Table4113[Projected Cost]-Table4113[Actual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SUBTOTAL(109,Table4113[Projected Cost])</f>
        <v>0</v>
      </c>
      <c r="D39" s="22">
        <f>SUBTOTAL(109,Table4113[Actual Cost])</f>
        <v>0</v>
      </c>
      <c r="E39" s="25">
        <f>SUBTOTAL(109,Table4113[Difference])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Table10120[Projected Cost]-Table10120[Actual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Table10120[Projected Cost]-Table10120[Actual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Table5116[Projected Cost]-Table5116[Actual Cost]</f>
        <v>0</v>
      </c>
      <c r="F42" s="27"/>
      <c r="G42" s="26" t="s">
        <v>12</v>
      </c>
      <c r="H42" s="22"/>
      <c r="I42" s="22"/>
      <c r="J42" s="23">
        <f>Table10120[Projected Cost]-Table10120[Actual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Table5116[Projected Cost]-Table5116[Actual Cost]</f>
        <v>0</v>
      </c>
      <c r="F43" s="27"/>
      <c r="G43" s="19" t="s">
        <v>68</v>
      </c>
      <c r="H43" s="22">
        <f>SUBTOTAL(109,Table10120[Projected Cost])</f>
        <v>0</v>
      </c>
      <c r="I43" s="22">
        <f>SUBTOTAL(109,Table10120[Actual Cost])</f>
        <v>0</v>
      </c>
      <c r="J43" s="25">
        <f>SUBTOTAL(109,Table10120[Difference])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Table5116[Projected Cost]-Table5116[Actual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SUBTOTAL(109,Table5116[Projected Cost])</f>
        <v>0</v>
      </c>
      <c r="D45" s="22">
        <f>SUBTOTAL(109,Table5116[Actual Cost])</f>
        <v>0</v>
      </c>
      <c r="E45" s="25">
        <f>SUBTOTAL(109,Table5116[Difference])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Table11115[Projected Cost]-Table11115[Actual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Table11115[Projected Cost]-Table11115[Actual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Table6114[Projected Cost]-Table6114[Actual Cost]</f>
        <v>0</v>
      </c>
      <c r="F48" s="27"/>
      <c r="G48" s="26" t="s">
        <v>45</v>
      </c>
      <c r="H48" s="22"/>
      <c r="I48" s="22"/>
      <c r="J48" s="23">
        <f>Table11115[Projected Cost]-Table11115[Actual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Table6114[Projected Cost]-Table6114[Actual Cost]</f>
        <v>0</v>
      </c>
      <c r="F49" s="27"/>
      <c r="G49" s="19" t="s">
        <v>68</v>
      </c>
      <c r="H49" s="22">
        <f>SUBTOTAL(109,Table11115[Projected Cost])</f>
        <v>0</v>
      </c>
      <c r="I49" s="22">
        <f>SUBTOTAL(109,Table11115[Actual Cost])</f>
        <v>0</v>
      </c>
      <c r="J49" s="25">
        <f>SUBTOTAL(109,Table11115[Difference])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Table6114[Projected Cost]-Table6114[Actual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Table6114[Projected Cost]-Table6114[Actual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Table6114[Projected Cost]-Table6114[Actual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SUBTOTAL(109,Table6114[Projected Cost])</f>
        <v>0</v>
      </c>
      <c r="D53" s="22">
        <f>SUBTOTAL(109,Table6114[Actual Cost])</f>
        <v>0</v>
      </c>
      <c r="E53" s="25">
        <f>SUBTOTAL(109,Table6114[Difference])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Table7121[Projected Cost]-Table7121[Actual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Table7121[Projected Cost]-Table7121[Actual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Table7121[Projected Cost]-Table7121[Actual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Table7121[Projected Cost]-Table7121[Actual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Table7121[Projected Cost]-Table7121[Actual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Table7121[Projected Cost]-Table7121[Actual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Table7121[Projected Cost]-Table7121[Actual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SUBTOTAL(109,Table7121[Projected Cost])</f>
        <v>0</v>
      </c>
      <c r="D63" s="22">
        <f>SUBTOTAL(109,Table7121[Actual Cost])</f>
        <v>0</v>
      </c>
      <c r="E63" s="25">
        <f>SUBTOTAL(109,Table7121[Difference])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  <col min="13" max="13" width="9.1406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15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Table1123[Projected Cost]-Table1123[Actual Cost]</f>
        <v>0</v>
      </c>
      <c r="F12" s="27"/>
      <c r="G12" s="26" t="s">
        <v>29</v>
      </c>
      <c r="H12" s="22"/>
      <c r="I12" s="22"/>
      <c r="J12" s="23">
        <f>Table2133[Projected Cost]-Table2133[Actual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Table1123[Projected Cost]-Table1123[Actual Cost]</f>
        <v>0</v>
      </c>
      <c r="F13" s="27"/>
      <c r="G13" s="26" t="s">
        <v>72</v>
      </c>
      <c r="H13" s="22"/>
      <c r="I13" s="22"/>
      <c r="J13" s="23">
        <f>Table2133[Projected Cost]-Table2133[Actual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Table1123[Projected Cost]-Table1123[Actual Cost]</f>
        <v>0</v>
      </c>
      <c r="F14" s="27"/>
      <c r="G14" s="26" t="s">
        <v>30</v>
      </c>
      <c r="H14" s="22"/>
      <c r="I14" s="22"/>
      <c r="J14" s="23">
        <f>Table2133[Projected Cost]-Table2133[Actual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Table1123[Projected Cost]-Table1123[Actual Cost]</f>
        <v>0</v>
      </c>
      <c r="F15" s="27"/>
      <c r="G15" s="26" t="s">
        <v>31</v>
      </c>
      <c r="H15" s="22"/>
      <c r="I15" s="22"/>
      <c r="J15" s="23">
        <f>Table2133[Projected Cost]-Table2133[Actual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Table1123[Projected Cost]-Table1123[Actual Cost]</f>
        <v>0</v>
      </c>
      <c r="F16" s="27"/>
      <c r="G16" s="26" t="s">
        <v>49</v>
      </c>
      <c r="H16" s="22"/>
      <c r="I16" s="22"/>
      <c r="J16" s="23">
        <f>Table2133[Projected Cost]-Table2133[Actual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Table1123[Projected Cost]-Table1123[Actual Cost]</f>
        <v>0</v>
      </c>
      <c r="F17" s="27"/>
      <c r="G17" s="26" t="s">
        <v>32</v>
      </c>
      <c r="H17" s="22"/>
      <c r="I17" s="22"/>
      <c r="J17" s="23">
        <f>Table2133[Projected Cost]-Table2133[Actual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Table1123[Projected Cost]-Table1123[Actual Cost]</f>
        <v>0</v>
      </c>
      <c r="F18" s="27"/>
      <c r="G18" s="26" t="s">
        <v>12</v>
      </c>
      <c r="H18" s="22"/>
      <c r="I18" s="22"/>
      <c r="J18" s="23">
        <f>Table2133[Projected Cost]-Table2133[Actual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Table1123[Projected Cost]-Table1123[Actual Cost]</f>
        <v>0</v>
      </c>
      <c r="F19" s="27"/>
      <c r="G19" s="26" t="s">
        <v>12</v>
      </c>
      <c r="H19" s="22"/>
      <c r="I19" s="22"/>
      <c r="J19" s="23">
        <f>Table2133[Projected Cost]-Table2133[Actual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Table1123[Projected Cost]-Table1123[Actual Cost]</f>
        <v>0</v>
      </c>
      <c r="F20" s="27"/>
      <c r="G20" s="26" t="s">
        <v>12</v>
      </c>
      <c r="H20" s="22"/>
      <c r="I20" s="22"/>
      <c r="J20" s="23">
        <f>Table2133[Projected Cost]-Table2133[Actual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Table1123[Projected Cost]-Table1123[Actual Cost]</f>
        <v>0</v>
      </c>
      <c r="F21" s="27"/>
      <c r="G21" s="19" t="s">
        <v>68</v>
      </c>
      <c r="H21" s="24">
        <f>SUBTOTAL(109,Table2133[Projected Cost])</f>
        <v>0</v>
      </c>
      <c r="I21" s="22">
        <f>SUBTOTAL(109,Table2133[Actual Cost])</f>
        <v>0</v>
      </c>
      <c r="J21" s="25">
        <f>SUBTOTAL(109,Table2133[Difference])</f>
        <v>0</v>
      </c>
    </row>
    <row r="22" spans="1:10" ht="15.75" customHeight="1" x14ac:dyDescent="0.2">
      <c r="A22" s="2"/>
      <c r="B22" s="19" t="s">
        <v>68</v>
      </c>
      <c r="C22" s="22">
        <f>SUBTOTAL(109,Table1123[Projected Cost])</f>
        <v>0</v>
      </c>
      <c r="D22" s="22">
        <f>SUBTOTAL(109,Table1123[Actual Cost])</f>
        <v>0</v>
      </c>
      <c r="E22" s="25">
        <f>SUBTOTAL(109,Table1123[Difference])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Table8130[Projected Cost]-Table8130[Actual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Table3129[Projected Cost]-Table3129[Actual Cost]</f>
        <v>0</v>
      </c>
      <c r="F25" s="27"/>
      <c r="G25" s="26" t="s">
        <v>41</v>
      </c>
      <c r="H25" s="22"/>
      <c r="I25" s="22"/>
      <c r="J25" s="23">
        <f>Table8130[Projected Cost]-Table8130[Actual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Table3129[Projected Cost]-Table3129[Actual Cost]</f>
        <v>0</v>
      </c>
      <c r="F26" s="27"/>
      <c r="G26" s="26" t="s">
        <v>50</v>
      </c>
      <c r="H26" s="22"/>
      <c r="I26" s="22"/>
      <c r="J26" s="23">
        <f>Table8130[Projected Cost]-Table8130[Actual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Table3129[Projected Cost]-Table3129[Actual Cost]</f>
        <v>0</v>
      </c>
      <c r="F27" s="27"/>
      <c r="G27" s="26" t="s">
        <v>50</v>
      </c>
      <c r="H27" s="22"/>
      <c r="I27" s="22"/>
      <c r="J27" s="23">
        <f>Table8130[Projected Cost]-Table8130[Actual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Table3129[Projected Cost]-Table3129[Actual Cost]</f>
        <v>0</v>
      </c>
      <c r="F28" s="27"/>
      <c r="G28" s="26" t="s">
        <v>50</v>
      </c>
      <c r="H28" s="22"/>
      <c r="I28" s="22"/>
      <c r="J28" s="23">
        <f>Table8130[Projected Cost]-Table8130[Actual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Table3129[Projected Cost]-Table3129[Actual Cost]</f>
        <v>0</v>
      </c>
      <c r="F29" s="27"/>
      <c r="G29" s="26" t="s">
        <v>12</v>
      </c>
      <c r="H29" s="22"/>
      <c r="I29" s="22"/>
      <c r="J29" s="23">
        <f>Table8130[Projected Cost]-Table8130[Actual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Table3129[Projected Cost]-Table3129[Actual Cost]</f>
        <v>0</v>
      </c>
      <c r="F30" s="27"/>
      <c r="G30" s="19" t="s">
        <v>68</v>
      </c>
      <c r="H30" s="22">
        <f>SUBTOTAL(109,Table8130[Projected Cost])</f>
        <v>0</v>
      </c>
      <c r="I30" s="22">
        <f>SUBTOTAL(109,Table8130[Actual Cost])</f>
        <v>0</v>
      </c>
      <c r="J30" s="25">
        <f>SUBTOTAL(109,Table8130[Difference])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Table3129[Projected Cost]-Table3129[Actual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SUBTOTAL(109,Table3129[Projected Cost])</f>
        <v>0</v>
      </c>
      <c r="D32" s="22">
        <f>SUBTOTAL(109,Table3129[Actual Cost])</f>
        <v>0</v>
      </c>
      <c r="E32" s="25">
        <f>SUBTOTAL(109,Table3129[Difference])</f>
        <v>0</v>
      </c>
      <c r="F32" s="27"/>
      <c r="G32" s="19" t="s">
        <v>73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12</v>
      </c>
      <c r="H33" s="22"/>
      <c r="I33" s="22"/>
      <c r="J33" s="23">
        <f>Table9128[Projected Cost]-Table9128[Actual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12</v>
      </c>
      <c r="H34" s="22"/>
      <c r="I34" s="22"/>
      <c r="J34" s="23">
        <f>Table9128[Projected Cost]-Table9128[Actual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Table4124[Projected Cost]-Table4124[Actual Cost]</f>
        <v>0</v>
      </c>
      <c r="F35" s="27"/>
      <c r="G35" s="26" t="s">
        <v>12</v>
      </c>
      <c r="H35" s="22"/>
      <c r="I35" s="22"/>
      <c r="J35" s="23">
        <f>Table9128[Projected Cost]-Table9128[Actual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Table4124[Projected Cost]-Table4124[Actual Cost]</f>
        <v>0</v>
      </c>
      <c r="F36" s="27"/>
      <c r="G36" s="26" t="s">
        <v>12</v>
      </c>
      <c r="H36" s="22"/>
      <c r="I36" s="22"/>
      <c r="J36" s="23">
        <f>Table9128[Projected Cost]-Table9128[Actual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Table4124[Projected Cost]-Table4124[Actual Cost]</f>
        <v>0</v>
      </c>
      <c r="F37" s="27"/>
      <c r="G37" s="19" t="s">
        <v>68</v>
      </c>
      <c r="H37" s="22">
        <f>SUBTOTAL(109,Table9128[Projected Cost])</f>
        <v>0</v>
      </c>
      <c r="I37" s="22">
        <f>SUBTOTAL(109,Table9128[Actual Cost])</f>
        <v>0</v>
      </c>
      <c r="J37" s="25">
        <f>SUBTOTAL(109,Table9128[Difference])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Table4124[Projected Cost]-Table4124[Actual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SUBTOTAL(109,Table4124[Projected Cost])</f>
        <v>0</v>
      </c>
      <c r="D39" s="22">
        <f>SUBTOTAL(109,Table4124[Actual Cost])</f>
        <v>0</v>
      </c>
      <c r="E39" s="25">
        <f>SUBTOTAL(109,Table4124[Difference])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Table10131[Projected Cost]-Table10131[Actual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Table10131[Projected Cost]-Table10131[Actual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Table5127[Projected Cost]-Table5127[Actual Cost]</f>
        <v>0</v>
      </c>
      <c r="F42" s="27"/>
      <c r="G42" s="26" t="s">
        <v>12</v>
      </c>
      <c r="H42" s="22"/>
      <c r="I42" s="22"/>
      <c r="J42" s="23">
        <f>Table10131[Projected Cost]-Table10131[Actual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Table5127[Projected Cost]-Table5127[Actual Cost]</f>
        <v>0</v>
      </c>
      <c r="F43" s="27"/>
      <c r="G43" s="19" t="s">
        <v>68</v>
      </c>
      <c r="H43" s="22">
        <f>SUBTOTAL(109,Table10131[Projected Cost])</f>
        <v>0</v>
      </c>
      <c r="I43" s="22">
        <f>SUBTOTAL(109,Table10131[Actual Cost])</f>
        <v>0</v>
      </c>
      <c r="J43" s="25">
        <f>SUBTOTAL(109,Table10131[Difference])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Table5127[Projected Cost]-Table5127[Actual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SUBTOTAL(109,Table5127[Projected Cost])</f>
        <v>0</v>
      </c>
      <c r="D45" s="22">
        <f>SUBTOTAL(109,Table5127[Actual Cost])</f>
        <v>0</v>
      </c>
      <c r="E45" s="25">
        <f>SUBTOTAL(109,Table5127[Difference])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Table11126[Projected Cost]-Table11126[Actual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Table11126[Projected Cost]-Table11126[Actual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Table6125[Projected Cost]-Table6125[Actual Cost]</f>
        <v>0</v>
      </c>
      <c r="F48" s="27"/>
      <c r="G48" s="26" t="s">
        <v>45</v>
      </c>
      <c r="H48" s="22"/>
      <c r="I48" s="22"/>
      <c r="J48" s="23">
        <f>Table11126[Projected Cost]-Table11126[Actual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Table6125[Projected Cost]-Table6125[Actual Cost]</f>
        <v>0</v>
      </c>
      <c r="F49" s="27"/>
      <c r="G49" s="19" t="s">
        <v>68</v>
      </c>
      <c r="H49" s="22">
        <f>SUBTOTAL(109,Table11126[Projected Cost])</f>
        <v>0</v>
      </c>
      <c r="I49" s="22">
        <f>SUBTOTAL(109,Table11126[Actual Cost])</f>
        <v>0</v>
      </c>
      <c r="J49" s="25">
        <f>SUBTOTAL(109,Table11126[Difference])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Table6125[Projected Cost]-Table6125[Actual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Table6125[Projected Cost]-Table6125[Actual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Table6125[Projected Cost]-Table6125[Actual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SUBTOTAL(109,Table6125[Projected Cost])</f>
        <v>0</v>
      </c>
      <c r="D53" s="22">
        <f>SUBTOTAL(109,Table6125[Actual Cost])</f>
        <v>0</v>
      </c>
      <c r="E53" s="25">
        <f>SUBTOTAL(109,Table6125[Difference])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Table7132[Projected Cost]-Table7132[Actual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Table7132[Projected Cost]-Table7132[Actual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Table7132[Projected Cost]-Table7132[Actual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Table7132[Projected Cost]-Table7132[Actual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Table7132[Projected Cost]-Table7132[Actual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Table7132[Projected Cost]-Table7132[Actual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Table7132[Projected Cost]-Table7132[Actual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SUBTOTAL(109,Table7132[Projected Cost])</f>
        <v>0</v>
      </c>
      <c r="D63" s="22">
        <f>SUBTOTAL(109,Table7132[Actual Cost])</f>
        <v>0</v>
      </c>
      <c r="E63" s="25">
        <f>SUBTOTAL(109,Table7132[Difference])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pageSetup scale="63" fitToHeight="0" orientation="portrait" r:id="rId1"/>
  <drawing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+E7+E8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Table113[Projected Cost]-Table113[Actual Cost]</f>
        <v>0</v>
      </c>
      <c r="F12" s="27"/>
      <c r="G12" s="26" t="s">
        <v>29</v>
      </c>
      <c r="H12" s="22"/>
      <c r="I12" s="22"/>
      <c r="J12" s="23">
        <f>Table223[Projected Cost]-Table223[Actual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Table113[Projected Cost]-Table113[Actual Cost]</f>
        <v>0</v>
      </c>
      <c r="F13" s="27"/>
      <c r="G13" s="26" t="s">
        <v>72</v>
      </c>
      <c r="H13" s="22"/>
      <c r="I13" s="22"/>
      <c r="J13" s="23">
        <f>Table223[Projected Cost]-Table223[Actual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Table113[Projected Cost]-Table113[Actual Cost]</f>
        <v>0</v>
      </c>
      <c r="F14" s="27"/>
      <c r="G14" s="26" t="s">
        <v>30</v>
      </c>
      <c r="H14" s="22"/>
      <c r="I14" s="22"/>
      <c r="J14" s="23">
        <f>Table223[Projected Cost]-Table223[Actual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Table113[Projected Cost]-Table113[Actual Cost]</f>
        <v>0</v>
      </c>
      <c r="F15" s="27"/>
      <c r="G15" s="26" t="s">
        <v>31</v>
      </c>
      <c r="H15" s="22"/>
      <c r="I15" s="22"/>
      <c r="J15" s="23">
        <f>Table223[Projected Cost]-Table223[Actual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Table113[Projected Cost]-Table113[Actual Cost]</f>
        <v>0</v>
      </c>
      <c r="F16" s="27"/>
      <c r="G16" s="26" t="s">
        <v>49</v>
      </c>
      <c r="H16" s="22"/>
      <c r="I16" s="22"/>
      <c r="J16" s="23">
        <f>Table223[Projected Cost]-Table223[Actual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Table113[Projected Cost]-Table113[Actual Cost]</f>
        <v>0</v>
      </c>
      <c r="F17" s="27"/>
      <c r="G17" s="26" t="s">
        <v>32</v>
      </c>
      <c r="H17" s="22"/>
      <c r="I17" s="22"/>
      <c r="J17" s="23">
        <f>Table223[Projected Cost]-Table223[Actual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Table113[Projected Cost]-Table113[Actual Cost]</f>
        <v>0</v>
      </c>
      <c r="F18" s="27"/>
      <c r="G18" s="26" t="s">
        <v>12</v>
      </c>
      <c r="H18" s="22"/>
      <c r="I18" s="22"/>
      <c r="J18" s="23">
        <f>Table223[Projected Cost]-Table223[Actual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Table113[Projected Cost]-Table113[Actual Cost]</f>
        <v>0</v>
      </c>
      <c r="F19" s="27"/>
      <c r="G19" s="26" t="s">
        <v>12</v>
      </c>
      <c r="H19" s="22"/>
      <c r="I19" s="22"/>
      <c r="J19" s="23">
        <f>Table223[Projected Cost]-Table223[Actual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Table113[Projected Cost]-Table113[Actual Cost]</f>
        <v>0</v>
      </c>
      <c r="F20" s="27"/>
      <c r="G20" s="26" t="s">
        <v>12</v>
      </c>
      <c r="H20" s="22"/>
      <c r="I20" s="22"/>
      <c r="J20" s="23">
        <f>Table223[Projected Cost]-Table223[Actual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Table113[Projected Cost]-Table113[Actual Cost]</f>
        <v>0</v>
      </c>
      <c r="F21" s="27"/>
      <c r="G21" s="19" t="s">
        <v>68</v>
      </c>
      <c r="H21" s="24">
        <f>SUBTOTAL(109,Table223[Projected Cost])</f>
        <v>0</v>
      </c>
      <c r="I21" s="22">
        <f>SUBTOTAL(109,Table223[Actual Cost])</f>
        <v>0</v>
      </c>
      <c r="J21" s="25">
        <f>SUBTOTAL(109,Table223[Difference])</f>
        <v>0</v>
      </c>
    </row>
    <row r="22" spans="1:10" ht="15.75" customHeight="1" x14ac:dyDescent="0.2">
      <c r="A22" s="2"/>
      <c r="B22" s="19" t="s">
        <v>68</v>
      </c>
      <c r="C22" s="22">
        <f>SUBTOTAL(109,Table113[Projected Cost])</f>
        <v>0</v>
      </c>
      <c r="D22" s="22">
        <f>SUBTOTAL(109,Table113[Actual Cost])</f>
        <v>0</v>
      </c>
      <c r="E22" s="25">
        <f>SUBTOTAL(109,Table113[Difference])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Table820[Projected Cost]-Table820[Actual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Table319[Projected Cost]-Table319[Actual Cost]</f>
        <v>0</v>
      </c>
      <c r="F25" s="27"/>
      <c r="G25" s="26" t="s">
        <v>41</v>
      </c>
      <c r="H25" s="22"/>
      <c r="I25" s="22"/>
      <c r="J25" s="23">
        <f>Table820[Projected Cost]-Table820[Actual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Table319[Projected Cost]-Table319[Actual Cost]</f>
        <v>0</v>
      </c>
      <c r="F26" s="27"/>
      <c r="G26" s="26" t="s">
        <v>50</v>
      </c>
      <c r="H26" s="22"/>
      <c r="I26" s="22"/>
      <c r="J26" s="23">
        <f>Table820[Projected Cost]-Table820[Actual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Table319[Projected Cost]-Table319[Actual Cost]</f>
        <v>0</v>
      </c>
      <c r="F27" s="27"/>
      <c r="G27" s="26" t="s">
        <v>50</v>
      </c>
      <c r="H27" s="22"/>
      <c r="I27" s="22"/>
      <c r="J27" s="23">
        <f>Table820[Projected Cost]-Table820[Actual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Table319[Projected Cost]-Table319[Actual Cost]</f>
        <v>0</v>
      </c>
      <c r="F28" s="27"/>
      <c r="G28" s="26" t="s">
        <v>50</v>
      </c>
      <c r="H28" s="22"/>
      <c r="I28" s="22"/>
      <c r="J28" s="23">
        <f>Table820[Projected Cost]-Table820[Actual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Table319[Projected Cost]-Table319[Actual Cost]</f>
        <v>0</v>
      </c>
      <c r="F29" s="27"/>
      <c r="G29" s="26" t="s">
        <v>12</v>
      </c>
      <c r="H29" s="22"/>
      <c r="I29" s="22"/>
      <c r="J29" s="23">
        <f>Table820[Projected Cost]-Table820[Actual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Table319[Projected Cost]-Table319[Actual Cost]</f>
        <v>0</v>
      </c>
      <c r="F30" s="27"/>
      <c r="G30" s="19" t="s">
        <v>68</v>
      </c>
      <c r="H30" s="22">
        <f>SUBTOTAL(109,Table820[Projected Cost])</f>
        <v>0</v>
      </c>
      <c r="I30" s="22">
        <f>SUBTOTAL(109,Table820[Actual Cost])</f>
        <v>0</v>
      </c>
      <c r="J30" s="25">
        <f>SUBTOTAL(109,Table820[Difference])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Table319[Projected Cost]-Table319[Actual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SUBTOTAL(109,Table319[Projected Cost])</f>
        <v>0</v>
      </c>
      <c r="D32" s="22">
        <f>SUBTOTAL(109,Table319[Actual Cost])</f>
        <v>0</v>
      </c>
      <c r="E32" s="25">
        <f>SUBTOTAL(109,Table319[Difference])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Table918[Projected Cost]-Table918[Actual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Table918[Projected Cost]-Table918[Actual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Table414[Projected Cost]-Table414[Actual Cost]</f>
        <v>0</v>
      </c>
      <c r="F35" s="27"/>
      <c r="G35" s="26" t="s">
        <v>37</v>
      </c>
      <c r="H35" s="22"/>
      <c r="I35" s="22"/>
      <c r="J35" s="23">
        <f>Table918[Projected Cost]-Table918[Actual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Table414[Projected Cost]-Table414[Actual Cost]</f>
        <v>0</v>
      </c>
      <c r="F36" s="27"/>
      <c r="G36" s="26" t="s">
        <v>12</v>
      </c>
      <c r="H36" s="22"/>
      <c r="I36" s="22"/>
      <c r="J36" s="23">
        <f>Table918[Projected Cost]-Table918[Actual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Table414[Projected Cost]-Table414[Actual Cost]</f>
        <v>0</v>
      </c>
      <c r="F37" s="27"/>
      <c r="G37" s="19" t="s">
        <v>68</v>
      </c>
      <c r="H37" s="22">
        <f>SUBTOTAL(109,Table918[Projected Cost])</f>
        <v>0</v>
      </c>
      <c r="I37" s="22">
        <f>SUBTOTAL(109,Table918[Actual Cost])</f>
        <v>0</v>
      </c>
      <c r="J37" s="25">
        <f>SUBTOTAL(109,Table918[Difference])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Table414[Projected Cost]-Table414[Actual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SUBTOTAL(109,Table414[Projected Cost])</f>
        <v>0</v>
      </c>
      <c r="D39" s="22">
        <f>SUBTOTAL(109,Table414[Actual Cost])</f>
        <v>0</v>
      </c>
      <c r="E39" s="25">
        <f>SUBTOTAL(109,Table414[Difference])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Table1021[Projected Cost]-Table1021[Actual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Table1021[Projected Cost]-Table1021[Actual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Table517[Projected Cost]-Table517[Actual Cost]</f>
        <v>0</v>
      </c>
      <c r="F42" s="27"/>
      <c r="G42" s="26" t="s">
        <v>12</v>
      </c>
      <c r="H42" s="22"/>
      <c r="I42" s="22"/>
      <c r="J42" s="23">
        <f>Table1021[Projected Cost]-Table1021[Actual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Table517[Projected Cost]-Table517[Actual Cost]</f>
        <v>0</v>
      </c>
      <c r="F43" s="27"/>
      <c r="G43" s="19" t="s">
        <v>68</v>
      </c>
      <c r="H43" s="22">
        <f>SUBTOTAL(109,Table1021[Projected Cost])</f>
        <v>0</v>
      </c>
      <c r="I43" s="22">
        <f>SUBTOTAL(109,Table1021[Actual Cost])</f>
        <v>0</v>
      </c>
      <c r="J43" s="25">
        <f>SUBTOTAL(109,Table1021[Difference])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Table517[Projected Cost]-Table517[Actual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SUBTOTAL(109,Table517[Projected Cost])</f>
        <v>0</v>
      </c>
      <c r="D45" s="22">
        <f>SUBTOTAL(109,Table517[Actual Cost])</f>
        <v>0</v>
      </c>
      <c r="E45" s="25">
        <f>SUBTOTAL(109,Table517[Difference])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Table1116[Projected Cost]-Table1116[Actual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Table1116[Projected Cost]-Table1116[Actual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Table615[Projected Cost]-Table615[Actual Cost]</f>
        <v>0</v>
      </c>
      <c r="F48" s="27"/>
      <c r="G48" s="26" t="s">
        <v>45</v>
      </c>
      <c r="H48" s="22"/>
      <c r="I48" s="22"/>
      <c r="J48" s="23">
        <f>Table1116[Projected Cost]-Table1116[Actual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Table615[Projected Cost]-Table615[Actual Cost]</f>
        <v>0</v>
      </c>
      <c r="F49" s="27"/>
      <c r="G49" s="19" t="s">
        <v>68</v>
      </c>
      <c r="H49" s="22">
        <f>SUBTOTAL(109,Table1116[Projected Cost])</f>
        <v>0</v>
      </c>
      <c r="I49" s="22">
        <f>SUBTOTAL(109,Table1116[Actual Cost])</f>
        <v>0</v>
      </c>
      <c r="J49" s="25">
        <f>SUBTOTAL(109,Table1116[Difference])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Table615[Projected Cost]-Table615[Actual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Table615[Projected Cost]-Table615[Actual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Table615[Projected Cost]-Table615[Actual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SUBTOTAL(109,Table615[Projected Cost])</f>
        <v>0</v>
      </c>
      <c r="D53" s="22">
        <f>SUBTOTAL(109,Table615[Actual Cost])</f>
        <v>0</v>
      </c>
      <c r="E53" s="25">
        <f>SUBTOTAL(109,Table615[Difference])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Table722[Projected Cost]-Table722[Actual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Table722[Projected Cost]-Table722[Actual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Table722[Projected Cost]-Table722[Actual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Table722[Projected Cost]-Table722[Actual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Table722[Projected Cost]-Table722[Actual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Table722[Projected Cost]-Table722[Actual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Table722[Projected Cost]-Table722[Actual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SUBTOTAL(109,Table722[Projected Cost])</f>
        <v>0</v>
      </c>
      <c r="D63" s="22">
        <f>SUBTOTAL(109,Table722[Actual Cost])</f>
        <v>0</v>
      </c>
      <c r="E63" s="25">
        <f>SUBTOTAL(109,Table722[Difference])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Table124[Projected Cost]-Table124[Actual Cost]</f>
        <v>0</v>
      </c>
      <c r="F12" s="27"/>
      <c r="G12" s="26" t="s">
        <v>29</v>
      </c>
      <c r="H12" s="22"/>
      <c r="I12" s="22"/>
      <c r="J12" s="23">
        <f>Table234[Projected Cost]-Table234[Actual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Table124[Projected Cost]-Table124[Actual Cost]</f>
        <v>0</v>
      </c>
      <c r="F13" s="27"/>
      <c r="G13" s="26" t="s">
        <v>72</v>
      </c>
      <c r="H13" s="22"/>
      <c r="I13" s="22"/>
      <c r="J13" s="23">
        <f>Table234[Projected Cost]-Table234[Actual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Table124[Projected Cost]-Table124[Actual Cost]</f>
        <v>0</v>
      </c>
      <c r="F14" s="27"/>
      <c r="G14" s="26" t="s">
        <v>30</v>
      </c>
      <c r="H14" s="22"/>
      <c r="I14" s="22"/>
      <c r="J14" s="23">
        <f>Table234[Projected Cost]-Table234[Actual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Table124[Projected Cost]-Table124[Actual Cost]</f>
        <v>0</v>
      </c>
      <c r="F15" s="27"/>
      <c r="G15" s="26" t="s">
        <v>31</v>
      </c>
      <c r="H15" s="22"/>
      <c r="I15" s="22"/>
      <c r="J15" s="23">
        <f>Table234[Projected Cost]-Table234[Actual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Table124[Projected Cost]-Table124[Actual Cost]</f>
        <v>0</v>
      </c>
      <c r="F16" s="27"/>
      <c r="G16" s="26" t="s">
        <v>49</v>
      </c>
      <c r="H16" s="22"/>
      <c r="I16" s="22"/>
      <c r="J16" s="23">
        <f>Table234[Projected Cost]-Table234[Actual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Table124[Projected Cost]-Table124[Actual Cost]</f>
        <v>0</v>
      </c>
      <c r="F17" s="27"/>
      <c r="G17" s="26" t="s">
        <v>32</v>
      </c>
      <c r="H17" s="22"/>
      <c r="I17" s="22"/>
      <c r="J17" s="23">
        <f>Table234[Projected Cost]-Table234[Actual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Table124[Projected Cost]-Table124[Actual Cost]</f>
        <v>0</v>
      </c>
      <c r="F18" s="27"/>
      <c r="G18" s="26" t="s">
        <v>12</v>
      </c>
      <c r="H18" s="22"/>
      <c r="I18" s="22"/>
      <c r="J18" s="23">
        <f>Table234[Projected Cost]-Table234[Actual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Table124[Projected Cost]-Table124[Actual Cost]</f>
        <v>0</v>
      </c>
      <c r="F19" s="27"/>
      <c r="G19" s="26" t="s">
        <v>12</v>
      </c>
      <c r="H19" s="22"/>
      <c r="I19" s="22"/>
      <c r="J19" s="23">
        <f>Table234[Projected Cost]-Table234[Actual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Table124[Projected Cost]-Table124[Actual Cost]</f>
        <v>0</v>
      </c>
      <c r="F20" s="27"/>
      <c r="G20" s="26" t="s">
        <v>12</v>
      </c>
      <c r="H20" s="22"/>
      <c r="I20" s="22"/>
      <c r="J20" s="23">
        <f>Table234[Projected Cost]-Table234[Actual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Table124[Projected Cost]-Table124[Actual Cost]</f>
        <v>0</v>
      </c>
      <c r="F21" s="27"/>
      <c r="G21" s="19" t="s">
        <v>68</v>
      </c>
      <c r="H21" s="24">
        <f>SUBTOTAL(109,Table234[Projected Cost])</f>
        <v>0</v>
      </c>
      <c r="I21" s="22">
        <f>SUBTOTAL(109,Table234[Actual Cost])</f>
        <v>0</v>
      </c>
      <c r="J21" s="25">
        <f>SUBTOTAL(109,Table234[Difference])</f>
        <v>0</v>
      </c>
    </row>
    <row r="22" spans="1:10" ht="15.75" customHeight="1" x14ac:dyDescent="0.2">
      <c r="A22" s="2"/>
      <c r="B22" s="19" t="s">
        <v>68</v>
      </c>
      <c r="C22" s="22">
        <f>SUBTOTAL(109,Table124[Projected Cost])</f>
        <v>0</v>
      </c>
      <c r="D22" s="22">
        <f>SUBTOTAL(109,Table124[Actual Cost])</f>
        <v>0</v>
      </c>
      <c r="E22" s="25">
        <f>SUBTOTAL(109,Table124[Difference])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Table831[Projected Cost]-Table831[Actual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Table330[Projected Cost]-Table330[Actual Cost]</f>
        <v>0</v>
      </c>
      <c r="F25" s="27"/>
      <c r="G25" s="26" t="s">
        <v>41</v>
      </c>
      <c r="H25" s="22"/>
      <c r="I25" s="22"/>
      <c r="J25" s="23">
        <f>Table831[Projected Cost]-Table831[Actual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Table330[Projected Cost]-Table330[Actual Cost]</f>
        <v>0</v>
      </c>
      <c r="F26" s="27"/>
      <c r="G26" s="26" t="s">
        <v>50</v>
      </c>
      <c r="H26" s="22"/>
      <c r="I26" s="22"/>
      <c r="J26" s="23">
        <f>Table831[Projected Cost]-Table831[Actual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Table330[Projected Cost]-Table330[Actual Cost]</f>
        <v>0</v>
      </c>
      <c r="F27" s="27"/>
      <c r="G27" s="26" t="s">
        <v>50</v>
      </c>
      <c r="H27" s="22"/>
      <c r="I27" s="22"/>
      <c r="J27" s="23">
        <f>Table831[Projected Cost]-Table831[Actual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Table330[Projected Cost]-Table330[Actual Cost]</f>
        <v>0</v>
      </c>
      <c r="F28" s="27"/>
      <c r="G28" s="26" t="s">
        <v>50</v>
      </c>
      <c r="H28" s="22"/>
      <c r="I28" s="22"/>
      <c r="J28" s="23">
        <f>Table831[Projected Cost]-Table831[Actual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Table330[Projected Cost]-Table330[Actual Cost]</f>
        <v>0</v>
      </c>
      <c r="F29" s="27"/>
      <c r="G29" s="26" t="s">
        <v>12</v>
      </c>
      <c r="H29" s="22"/>
      <c r="I29" s="22"/>
      <c r="J29" s="23">
        <f>Table831[Projected Cost]-Table831[Actual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Table330[Projected Cost]-Table330[Actual Cost]</f>
        <v>0</v>
      </c>
      <c r="F30" s="27"/>
      <c r="G30" s="19" t="s">
        <v>68</v>
      </c>
      <c r="H30" s="22">
        <f>SUBTOTAL(109,Table831[Projected Cost])</f>
        <v>0</v>
      </c>
      <c r="I30" s="22">
        <f>SUBTOTAL(109,Table831[Actual Cost])</f>
        <v>0</v>
      </c>
      <c r="J30" s="25">
        <f>SUBTOTAL(109,Table831[Difference])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Table330[Projected Cost]-Table330[Actual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SUBTOTAL(109,Table330[Projected Cost])</f>
        <v>0</v>
      </c>
      <c r="D32" s="22">
        <f>SUBTOTAL(109,Table330[Actual Cost])</f>
        <v>0</v>
      </c>
      <c r="E32" s="25">
        <f>SUBTOTAL(109,Table330[Difference])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Table929[Projected Cost]-Table929[Actual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Table929[Projected Cost]-Table929[Actual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Table425[Projected Cost]-Table425[Actual Cost]</f>
        <v>0</v>
      </c>
      <c r="F35" s="27"/>
      <c r="G35" s="26" t="s">
        <v>37</v>
      </c>
      <c r="H35" s="22"/>
      <c r="I35" s="22"/>
      <c r="J35" s="23">
        <f>Table929[Projected Cost]-Table929[Actual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Table425[Projected Cost]-Table425[Actual Cost]</f>
        <v>0</v>
      </c>
      <c r="F36" s="27"/>
      <c r="G36" s="26" t="s">
        <v>12</v>
      </c>
      <c r="H36" s="22"/>
      <c r="I36" s="22"/>
      <c r="J36" s="23">
        <f>Table929[Projected Cost]-Table929[Actual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Table425[Projected Cost]-Table425[Actual Cost]</f>
        <v>0</v>
      </c>
      <c r="F37" s="27"/>
      <c r="G37" s="19" t="s">
        <v>68</v>
      </c>
      <c r="H37" s="22">
        <f>SUBTOTAL(109,Table929[Projected Cost])</f>
        <v>0</v>
      </c>
      <c r="I37" s="22">
        <f>SUBTOTAL(109,Table929[Actual Cost])</f>
        <v>0</v>
      </c>
      <c r="J37" s="25">
        <f>SUBTOTAL(109,Table929[Difference])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Table425[Projected Cost]-Table425[Actual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SUBTOTAL(109,Table425[Projected Cost])</f>
        <v>0</v>
      </c>
      <c r="D39" s="22">
        <f>SUBTOTAL(109,Table425[Actual Cost])</f>
        <v>0</v>
      </c>
      <c r="E39" s="25">
        <f>SUBTOTAL(109,Table425[Difference])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Table1032[Projected Cost]-Table1032[Actual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Table1032[Projected Cost]-Table1032[Actual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Table528[Projected Cost]-Table528[Actual Cost]</f>
        <v>0</v>
      </c>
      <c r="F42" s="27"/>
      <c r="G42" s="26" t="s">
        <v>12</v>
      </c>
      <c r="H42" s="22"/>
      <c r="I42" s="22"/>
      <c r="J42" s="23">
        <f>Table1032[Projected Cost]-Table1032[Actual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Table528[Projected Cost]-Table528[Actual Cost]</f>
        <v>0</v>
      </c>
      <c r="F43" s="27"/>
      <c r="G43" s="19" t="s">
        <v>68</v>
      </c>
      <c r="H43" s="22">
        <f>SUBTOTAL(109,Table1032[Projected Cost])</f>
        <v>0</v>
      </c>
      <c r="I43" s="22">
        <f>SUBTOTAL(109,Table1032[Actual Cost])</f>
        <v>0</v>
      </c>
      <c r="J43" s="25">
        <f>SUBTOTAL(109,Table1032[Difference])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Table528[Projected Cost]-Table528[Actual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SUBTOTAL(109,Table528[Projected Cost])</f>
        <v>0</v>
      </c>
      <c r="D45" s="22">
        <f>SUBTOTAL(109,Table528[Actual Cost])</f>
        <v>0</v>
      </c>
      <c r="E45" s="25">
        <f>SUBTOTAL(109,Table528[Difference])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Table1127[Projected Cost]-Table1127[Actual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Table1127[Projected Cost]-Table1127[Actual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Table626[Projected Cost]-Table626[Actual Cost]</f>
        <v>0</v>
      </c>
      <c r="F48" s="27"/>
      <c r="G48" s="26" t="s">
        <v>45</v>
      </c>
      <c r="H48" s="22"/>
      <c r="I48" s="22"/>
      <c r="J48" s="23">
        <f>Table1127[Projected Cost]-Table1127[Actual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Table626[Projected Cost]-Table626[Actual Cost]</f>
        <v>0</v>
      </c>
      <c r="F49" s="27"/>
      <c r="G49" s="19" t="s">
        <v>68</v>
      </c>
      <c r="H49" s="22">
        <f>SUBTOTAL(109,Table1127[Projected Cost])</f>
        <v>0</v>
      </c>
      <c r="I49" s="22">
        <f>SUBTOTAL(109,Table1127[Actual Cost])</f>
        <v>0</v>
      </c>
      <c r="J49" s="25">
        <f>SUBTOTAL(109,Table1127[Difference])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Table626[Projected Cost]-Table626[Actual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Table626[Projected Cost]-Table626[Actual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Table626[Projected Cost]-Table626[Actual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SUBTOTAL(109,Table626[Projected Cost])</f>
        <v>0</v>
      </c>
      <c r="D53" s="22">
        <f>SUBTOTAL(109,Table626[Actual Cost])</f>
        <v>0</v>
      </c>
      <c r="E53" s="25">
        <f>SUBTOTAL(109,Table626[Difference])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Table733[Projected Cost]-Table733[Actual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Table733[Projected Cost]-Table733[Actual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Table733[Projected Cost]-Table733[Actual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Table733[Projected Cost]-Table733[Actual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Table733[Projected Cost]-Table733[Actual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Table733[Projected Cost]-Table733[Actual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Table733[Projected Cost]-Table733[Actual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SUBTOTAL(109,Table733[Projected Cost])</f>
        <v>0</v>
      </c>
      <c r="D63" s="22">
        <f>SUBTOTAL(109,Table733[Actual Cost])</f>
        <v>0</v>
      </c>
      <c r="E63" s="25">
        <f>SUBTOTAL(109,Table733[Difference])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Table135[Projected Cost]-Table135[Actual Cost]</f>
        <v>0</v>
      </c>
      <c r="F12" s="27"/>
      <c r="G12" s="26" t="s">
        <v>29</v>
      </c>
      <c r="H12" s="22"/>
      <c r="I12" s="22"/>
      <c r="J12" s="23">
        <f>Table245[Projected Cost]-Table245[Actual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Table135[Projected Cost]-Table135[Actual Cost]</f>
        <v>0</v>
      </c>
      <c r="F13" s="27"/>
      <c r="G13" s="26" t="s">
        <v>72</v>
      </c>
      <c r="H13" s="22"/>
      <c r="I13" s="22"/>
      <c r="J13" s="23">
        <f>Table245[Projected Cost]-Table245[Actual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Table135[Projected Cost]-Table135[Actual Cost]</f>
        <v>0</v>
      </c>
      <c r="F14" s="27"/>
      <c r="G14" s="26" t="s">
        <v>30</v>
      </c>
      <c r="H14" s="22"/>
      <c r="I14" s="22"/>
      <c r="J14" s="23">
        <f>Table245[Projected Cost]-Table245[Actual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Table135[Projected Cost]-Table135[Actual Cost]</f>
        <v>0</v>
      </c>
      <c r="F15" s="27"/>
      <c r="G15" s="26" t="s">
        <v>31</v>
      </c>
      <c r="H15" s="22"/>
      <c r="I15" s="22"/>
      <c r="J15" s="23">
        <f>Table245[Projected Cost]-Table245[Actual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Table135[Projected Cost]-Table135[Actual Cost]</f>
        <v>0</v>
      </c>
      <c r="F16" s="27"/>
      <c r="G16" s="26" t="s">
        <v>49</v>
      </c>
      <c r="H16" s="22"/>
      <c r="I16" s="22"/>
      <c r="J16" s="23">
        <f>Table245[Projected Cost]-Table245[Actual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Table135[Projected Cost]-Table135[Actual Cost]</f>
        <v>0</v>
      </c>
      <c r="F17" s="27"/>
      <c r="G17" s="26" t="s">
        <v>32</v>
      </c>
      <c r="H17" s="22"/>
      <c r="I17" s="22"/>
      <c r="J17" s="23">
        <f>Table245[Projected Cost]-Table245[Actual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Table135[Projected Cost]-Table135[Actual Cost]</f>
        <v>0</v>
      </c>
      <c r="F18" s="27"/>
      <c r="G18" s="26" t="s">
        <v>12</v>
      </c>
      <c r="H18" s="22"/>
      <c r="I18" s="22"/>
      <c r="J18" s="23">
        <f>Table245[Projected Cost]-Table245[Actual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Table135[Projected Cost]-Table135[Actual Cost]</f>
        <v>0</v>
      </c>
      <c r="F19" s="27"/>
      <c r="G19" s="26" t="s">
        <v>12</v>
      </c>
      <c r="H19" s="22"/>
      <c r="I19" s="22"/>
      <c r="J19" s="23">
        <f>Table245[Projected Cost]-Table245[Actual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Table135[Projected Cost]-Table135[Actual Cost]</f>
        <v>0</v>
      </c>
      <c r="F20" s="27"/>
      <c r="G20" s="26" t="s">
        <v>12</v>
      </c>
      <c r="H20" s="22"/>
      <c r="I20" s="22"/>
      <c r="J20" s="23">
        <f>Table245[Projected Cost]-Table245[Actual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Table135[Projected Cost]-Table135[Actual Cost]</f>
        <v>0</v>
      </c>
      <c r="F21" s="27"/>
      <c r="G21" s="19" t="s">
        <v>68</v>
      </c>
      <c r="H21" s="24">
        <f>SUBTOTAL(109,Table245[Projected Cost])</f>
        <v>0</v>
      </c>
      <c r="I21" s="22">
        <f>SUBTOTAL(109,Table245[Actual Cost])</f>
        <v>0</v>
      </c>
      <c r="J21" s="25">
        <f>SUBTOTAL(109,Table245[Difference])</f>
        <v>0</v>
      </c>
    </row>
    <row r="22" spans="1:10" ht="15.75" customHeight="1" x14ac:dyDescent="0.2">
      <c r="A22" s="2"/>
      <c r="B22" s="19" t="s">
        <v>68</v>
      </c>
      <c r="C22" s="22">
        <f>SUBTOTAL(109,Table135[Projected Cost])</f>
        <v>0</v>
      </c>
      <c r="D22" s="22">
        <f>SUBTOTAL(109,Table135[Actual Cost])</f>
        <v>0</v>
      </c>
      <c r="E22" s="25">
        <f>SUBTOTAL(109,Table135[Difference])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Table842[Projected Cost]-Table842[Actual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Table341[Projected Cost]-Table341[Actual Cost]</f>
        <v>0</v>
      </c>
      <c r="F25" s="27"/>
      <c r="G25" s="26" t="s">
        <v>41</v>
      </c>
      <c r="H25" s="22"/>
      <c r="I25" s="22"/>
      <c r="J25" s="23">
        <f>Table842[Projected Cost]-Table842[Actual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Table341[Projected Cost]-Table341[Actual Cost]</f>
        <v>0</v>
      </c>
      <c r="F26" s="27"/>
      <c r="G26" s="26" t="s">
        <v>50</v>
      </c>
      <c r="H26" s="22"/>
      <c r="I26" s="22"/>
      <c r="J26" s="23">
        <f>Table842[Projected Cost]-Table842[Actual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Table341[Projected Cost]-Table341[Actual Cost]</f>
        <v>0</v>
      </c>
      <c r="F27" s="27"/>
      <c r="G27" s="26" t="s">
        <v>50</v>
      </c>
      <c r="H27" s="22"/>
      <c r="I27" s="22"/>
      <c r="J27" s="23">
        <f>Table842[Projected Cost]-Table842[Actual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Table341[Projected Cost]-Table341[Actual Cost]</f>
        <v>0</v>
      </c>
      <c r="F28" s="27"/>
      <c r="G28" s="26" t="s">
        <v>50</v>
      </c>
      <c r="H28" s="22"/>
      <c r="I28" s="22"/>
      <c r="J28" s="23">
        <f>Table842[Projected Cost]-Table842[Actual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Table341[Projected Cost]-Table341[Actual Cost]</f>
        <v>0</v>
      </c>
      <c r="F29" s="27"/>
      <c r="G29" s="26" t="s">
        <v>12</v>
      </c>
      <c r="H29" s="22"/>
      <c r="I29" s="22"/>
      <c r="J29" s="23">
        <f>Table842[Projected Cost]-Table842[Actual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Table341[Projected Cost]-Table341[Actual Cost]</f>
        <v>0</v>
      </c>
      <c r="F30" s="27"/>
      <c r="G30" s="19" t="s">
        <v>68</v>
      </c>
      <c r="H30" s="22">
        <f>SUBTOTAL(109,Table842[Projected Cost])</f>
        <v>0</v>
      </c>
      <c r="I30" s="22">
        <f>SUBTOTAL(109,Table842[Actual Cost])</f>
        <v>0</v>
      </c>
      <c r="J30" s="25">
        <f>SUBTOTAL(109,Table842[Difference])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Table341[Projected Cost]-Table341[Actual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SUBTOTAL(109,Table341[Projected Cost])</f>
        <v>0</v>
      </c>
      <c r="D32" s="22">
        <f>SUBTOTAL(109,Table341[Actual Cost])</f>
        <v>0</v>
      </c>
      <c r="E32" s="25">
        <f>SUBTOTAL(109,Table341[Difference])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Table940[Projected Cost]-Table940[Actual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Table940[Projected Cost]-Table940[Actual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Table436[Projected Cost]-Table436[Actual Cost]</f>
        <v>0</v>
      </c>
      <c r="F35" s="27"/>
      <c r="G35" s="26" t="s">
        <v>37</v>
      </c>
      <c r="H35" s="22"/>
      <c r="I35" s="22"/>
      <c r="J35" s="23">
        <f>Table940[Projected Cost]-Table940[Actual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Table436[Projected Cost]-Table436[Actual Cost]</f>
        <v>0</v>
      </c>
      <c r="F36" s="27"/>
      <c r="G36" s="26" t="s">
        <v>12</v>
      </c>
      <c r="H36" s="22"/>
      <c r="I36" s="22"/>
      <c r="J36" s="23">
        <f>Table940[Projected Cost]-Table940[Actual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Table436[Projected Cost]-Table436[Actual Cost]</f>
        <v>0</v>
      </c>
      <c r="F37" s="27"/>
      <c r="G37" s="19" t="s">
        <v>68</v>
      </c>
      <c r="H37" s="22">
        <f>SUBTOTAL(109,Table940[Projected Cost])</f>
        <v>0</v>
      </c>
      <c r="I37" s="22">
        <f>SUBTOTAL(109,Table940[Actual Cost])</f>
        <v>0</v>
      </c>
      <c r="J37" s="25">
        <f>SUBTOTAL(109,Table940[Difference])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Table436[Projected Cost]-Table436[Actual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SUBTOTAL(109,Table436[Projected Cost])</f>
        <v>0</v>
      </c>
      <c r="D39" s="22">
        <f>SUBTOTAL(109,Table436[Actual Cost])</f>
        <v>0</v>
      </c>
      <c r="E39" s="25">
        <f>SUBTOTAL(109,Table436[Difference])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Table1043[Projected Cost]-Table1043[Actual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Table1043[Projected Cost]-Table1043[Actual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Table539[Projected Cost]-Table539[Actual Cost]</f>
        <v>0</v>
      </c>
      <c r="F42" s="27"/>
      <c r="G42" s="26" t="s">
        <v>12</v>
      </c>
      <c r="H42" s="22"/>
      <c r="I42" s="22"/>
      <c r="J42" s="23">
        <f>Table1043[Projected Cost]-Table1043[Actual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Table539[Projected Cost]-Table539[Actual Cost]</f>
        <v>0</v>
      </c>
      <c r="F43" s="27"/>
      <c r="G43" s="19" t="s">
        <v>68</v>
      </c>
      <c r="H43" s="22">
        <f>SUBTOTAL(109,Table1043[Projected Cost])</f>
        <v>0</v>
      </c>
      <c r="I43" s="22">
        <f>SUBTOTAL(109,Table1043[Actual Cost])</f>
        <v>0</v>
      </c>
      <c r="J43" s="25">
        <f>SUBTOTAL(109,Table1043[Difference])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Table539[Projected Cost]-Table539[Actual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SUBTOTAL(109,Table539[Projected Cost])</f>
        <v>0</v>
      </c>
      <c r="D45" s="22">
        <f>SUBTOTAL(109,Table539[Actual Cost])</f>
        <v>0</v>
      </c>
      <c r="E45" s="25">
        <f>SUBTOTAL(109,Table539[Difference])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Table1138[Projected Cost]-Table1138[Actual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Table1138[Projected Cost]-Table1138[Actual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Table637[Projected Cost]-Table637[Actual Cost]</f>
        <v>0</v>
      </c>
      <c r="F48" s="27"/>
      <c r="G48" s="26" t="s">
        <v>45</v>
      </c>
      <c r="H48" s="22"/>
      <c r="I48" s="22"/>
      <c r="J48" s="23">
        <f>Table1138[Projected Cost]-Table1138[Actual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Table637[Projected Cost]-Table637[Actual Cost]</f>
        <v>0</v>
      </c>
      <c r="F49" s="27"/>
      <c r="G49" s="19" t="s">
        <v>68</v>
      </c>
      <c r="H49" s="22">
        <f>SUBTOTAL(109,Table1138[Projected Cost])</f>
        <v>0</v>
      </c>
      <c r="I49" s="22">
        <f>SUBTOTAL(109,Table1138[Actual Cost])</f>
        <v>0</v>
      </c>
      <c r="J49" s="25">
        <f>SUBTOTAL(109,Table1138[Difference])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Table637[Projected Cost]-Table637[Actual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Table637[Projected Cost]-Table637[Actual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Table637[Projected Cost]-Table637[Actual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SUBTOTAL(109,Table637[Projected Cost])</f>
        <v>0</v>
      </c>
      <c r="D53" s="22">
        <f>SUBTOTAL(109,Table637[Actual Cost])</f>
        <v>0</v>
      </c>
      <c r="E53" s="25">
        <f>SUBTOTAL(109,Table637[Difference])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Table744[Projected Cost]-Table744[Actual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Table744[Projected Cost]-Table744[Actual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Table744[Projected Cost]-Table744[Actual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Table744[Projected Cost]-Table744[Actual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Table744[Projected Cost]-Table744[Actual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Table744[Projected Cost]-Table744[Actual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Table744[Projected Cost]-Table744[Actual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SUBTOTAL(109,Table744[Projected Cost])</f>
        <v>0</v>
      </c>
      <c r="D63" s="22">
        <f>SUBTOTAL(109,Table744[Actual Cost])</f>
        <v>0</v>
      </c>
      <c r="E63" s="25">
        <f>SUBTOTAL(109,Table744[Difference])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Table146[Projected Cost]-Table146[Actual Cost]</f>
        <v>0</v>
      </c>
      <c r="F12" s="27"/>
      <c r="G12" s="26" t="s">
        <v>29</v>
      </c>
      <c r="H12" s="22"/>
      <c r="I12" s="22"/>
      <c r="J12" s="23">
        <f>Table256[Projected Cost]-Table256[Actual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Table146[Projected Cost]-Table146[Actual Cost]</f>
        <v>0</v>
      </c>
      <c r="F13" s="27"/>
      <c r="G13" s="26" t="s">
        <v>72</v>
      </c>
      <c r="H13" s="22"/>
      <c r="I13" s="22"/>
      <c r="J13" s="23">
        <f>Table256[Projected Cost]-Table256[Actual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Table146[Projected Cost]-Table146[Actual Cost]</f>
        <v>0</v>
      </c>
      <c r="F14" s="27"/>
      <c r="G14" s="26" t="s">
        <v>30</v>
      </c>
      <c r="H14" s="22"/>
      <c r="I14" s="22"/>
      <c r="J14" s="23">
        <f>Table256[Projected Cost]-Table256[Actual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Table146[Projected Cost]-Table146[Actual Cost]</f>
        <v>0</v>
      </c>
      <c r="F15" s="27"/>
      <c r="G15" s="26" t="s">
        <v>31</v>
      </c>
      <c r="H15" s="22"/>
      <c r="I15" s="22"/>
      <c r="J15" s="23">
        <f>Table256[Projected Cost]-Table256[Actual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Table146[Projected Cost]-Table146[Actual Cost]</f>
        <v>0</v>
      </c>
      <c r="F16" s="27"/>
      <c r="G16" s="26" t="s">
        <v>49</v>
      </c>
      <c r="H16" s="22"/>
      <c r="I16" s="22"/>
      <c r="J16" s="23">
        <f>Table256[Projected Cost]-Table256[Actual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Table146[Projected Cost]-Table146[Actual Cost]</f>
        <v>0</v>
      </c>
      <c r="F17" s="27"/>
      <c r="G17" s="26" t="s">
        <v>32</v>
      </c>
      <c r="H17" s="22"/>
      <c r="I17" s="22"/>
      <c r="J17" s="23">
        <f>Table256[Projected Cost]-Table256[Actual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Table146[Projected Cost]-Table146[Actual Cost]</f>
        <v>0</v>
      </c>
      <c r="F18" s="27"/>
      <c r="G18" s="26" t="s">
        <v>12</v>
      </c>
      <c r="H18" s="22"/>
      <c r="I18" s="22"/>
      <c r="J18" s="23">
        <f>Table256[Projected Cost]-Table256[Actual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Table146[Projected Cost]-Table146[Actual Cost]</f>
        <v>0</v>
      </c>
      <c r="F19" s="27"/>
      <c r="G19" s="26" t="s">
        <v>12</v>
      </c>
      <c r="H19" s="22"/>
      <c r="I19" s="22"/>
      <c r="J19" s="23">
        <f>Table256[Projected Cost]-Table256[Actual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Table146[Projected Cost]-Table146[Actual Cost]</f>
        <v>0</v>
      </c>
      <c r="F20" s="27"/>
      <c r="G20" s="26" t="s">
        <v>12</v>
      </c>
      <c r="H20" s="22"/>
      <c r="I20" s="22"/>
      <c r="J20" s="23">
        <f>Table256[Projected Cost]-Table256[Actual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Table146[Projected Cost]-Table146[Actual Cost]</f>
        <v>0</v>
      </c>
      <c r="F21" s="27"/>
      <c r="G21" s="19" t="s">
        <v>68</v>
      </c>
      <c r="H21" s="24">
        <f>SUBTOTAL(109,Table256[Projected Cost])</f>
        <v>0</v>
      </c>
      <c r="I21" s="22">
        <f>SUBTOTAL(109,Table256[Actual Cost])</f>
        <v>0</v>
      </c>
      <c r="J21" s="25">
        <f>SUBTOTAL(109,Table256[Difference])</f>
        <v>0</v>
      </c>
    </row>
    <row r="22" spans="1:10" ht="15.75" customHeight="1" x14ac:dyDescent="0.2">
      <c r="A22" s="2"/>
      <c r="B22" s="19" t="s">
        <v>68</v>
      </c>
      <c r="C22" s="22">
        <f>SUBTOTAL(109,Table146[Projected Cost])</f>
        <v>0</v>
      </c>
      <c r="D22" s="22">
        <f>SUBTOTAL(109,Table146[Actual Cost])</f>
        <v>0</v>
      </c>
      <c r="E22" s="25">
        <f>SUBTOTAL(109,Table146[Difference])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Table853[Projected Cost]-Table853[Actual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Table352[Projected Cost]-Table352[Actual Cost]</f>
        <v>0</v>
      </c>
      <c r="F25" s="27"/>
      <c r="G25" s="26" t="s">
        <v>41</v>
      </c>
      <c r="H25" s="22"/>
      <c r="I25" s="22"/>
      <c r="J25" s="23">
        <f>Table853[Projected Cost]-Table853[Actual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Table352[Projected Cost]-Table352[Actual Cost]</f>
        <v>0</v>
      </c>
      <c r="F26" s="27"/>
      <c r="G26" s="26" t="s">
        <v>50</v>
      </c>
      <c r="H26" s="22"/>
      <c r="I26" s="22"/>
      <c r="J26" s="23">
        <f>Table853[Projected Cost]-Table853[Actual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Table352[Projected Cost]-Table352[Actual Cost]</f>
        <v>0</v>
      </c>
      <c r="F27" s="27"/>
      <c r="G27" s="26" t="s">
        <v>50</v>
      </c>
      <c r="H27" s="22"/>
      <c r="I27" s="22"/>
      <c r="J27" s="23">
        <f>Table853[Projected Cost]-Table853[Actual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Table352[Projected Cost]-Table352[Actual Cost]</f>
        <v>0</v>
      </c>
      <c r="F28" s="27"/>
      <c r="G28" s="26" t="s">
        <v>50</v>
      </c>
      <c r="H28" s="22"/>
      <c r="I28" s="22"/>
      <c r="J28" s="23">
        <f>Table853[Projected Cost]-Table853[Actual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Table352[Projected Cost]-Table352[Actual Cost]</f>
        <v>0</v>
      </c>
      <c r="F29" s="27"/>
      <c r="G29" s="26" t="s">
        <v>12</v>
      </c>
      <c r="H29" s="22"/>
      <c r="I29" s="22"/>
      <c r="J29" s="23">
        <f>Table853[Projected Cost]-Table853[Actual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Table352[Projected Cost]-Table352[Actual Cost]</f>
        <v>0</v>
      </c>
      <c r="F30" s="27"/>
      <c r="G30" s="19" t="s">
        <v>68</v>
      </c>
      <c r="H30" s="22">
        <f>SUBTOTAL(109,Table853[Projected Cost])</f>
        <v>0</v>
      </c>
      <c r="I30" s="22">
        <f>SUBTOTAL(109,Table853[Actual Cost])</f>
        <v>0</v>
      </c>
      <c r="J30" s="25">
        <f>SUBTOTAL(109,Table853[Difference])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Table352[Projected Cost]-Table352[Actual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SUBTOTAL(109,Table352[Projected Cost])</f>
        <v>0</v>
      </c>
      <c r="D32" s="22">
        <f>SUBTOTAL(109,Table352[Actual Cost])</f>
        <v>0</v>
      </c>
      <c r="E32" s="25">
        <f>SUBTOTAL(109,Table352[Difference])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Table951[Projected Cost]-Table951[Actual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Table951[Projected Cost]-Table951[Actual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Table447[Projected Cost]-Table447[Actual Cost]</f>
        <v>0</v>
      </c>
      <c r="F35" s="27"/>
      <c r="G35" s="26" t="s">
        <v>37</v>
      </c>
      <c r="H35" s="22"/>
      <c r="I35" s="22"/>
      <c r="J35" s="23">
        <f>Table951[Projected Cost]-Table951[Actual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Table447[Projected Cost]-Table447[Actual Cost]</f>
        <v>0</v>
      </c>
      <c r="F36" s="27"/>
      <c r="G36" s="26" t="s">
        <v>12</v>
      </c>
      <c r="H36" s="22"/>
      <c r="I36" s="22"/>
      <c r="J36" s="23">
        <f>Table951[Projected Cost]-Table951[Actual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Table447[Projected Cost]-Table447[Actual Cost]</f>
        <v>0</v>
      </c>
      <c r="F37" s="27"/>
      <c r="G37" s="19" t="s">
        <v>68</v>
      </c>
      <c r="H37" s="22">
        <f>SUBTOTAL(109,Table951[Projected Cost])</f>
        <v>0</v>
      </c>
      <c r="I37" s="22">
        <f>SUBTOTAL(109,Table951[Actual Cost])</f>
        <v>0</v>
      </c>
      <c r="J37" s="25">
        <f>SUBTOTAL(109,Table951[Difference])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Table447[Projected Cost]-Table447[Actual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SUBTOTAL(109,Table447[Projected Cost])</f>
        <v>0</v>
      </c>
      <c r="D39" s="22">
        <f>SUBTOTAL(109,Table447[Actual Cost])</f>
        <v>0</v>
      </c>
      <c r="E39" s="25">
        <f>SUBTOTAL(109,Table447[Difference])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Table1054[Projected Cost]-Table1054[Actual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Table1054[Projected Cost]-Table1054[Actual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Table550[Projected Cost]-Table550[Actual Cost]</f>
        <v>0</v>
      </c>
      <c r="F42" s="27"/>
      <c r="G42" s="26" t="s">
        <v>12</v>
      </c>
      <c r="H42" s="22"/>
      <c r="I42" s="22"/>
      <c r="J42" s="23">
        <f>Table1054[Projected Cost]-Table1054[Actual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Table550[Projected Cost]-Table550[Actual Cost]</f>
        <v>0</v>
      </c>
      <c r="F43" s="27"/>
      <c r="G43" s="19" t="s">
        <v>68</v>
      </c>
      <c r="H43" s="22">
        <f>SUBTOTAL(109,Table1054[Projected Cost])</f>
        <v>0</v>
      </c>
      <c r="I43" s="22">
        <f>SUBTOTAL(109,Table1054[Actual Cost])</f>
        <v>0</v>
      </c>
      <c r="J43" s="25">
        <f>SUBTOTAL(109,Table1054[Difference])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Table550[Projected Cost]-Table550[Actual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SUBTOTAL(109,Table550[Projected Cost])</f>
        <v>0</v>
      </c>
      <c r="D45" s="22">
        <f>SUBTOTAL(109,Table550[Actual Cost])</f>
        <v>0</v>
      </c>
      <c r="E45" s="25">
        <f>SUBTOTAL(109,Table550[Difference])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Table1149[Projected Cost]-Table1149[Actual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Table1149[Projected Cost]-Table1149[Actual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Table648[Projected Cost]-Table648[Actual Cost]</f>
        <v>0</v>
      </c>
      <c r="F48" s="27"/>
      <c r="G48" s="26" t="s">
        <v>45</v>
      </c>
      <c r="H48" s="22"/>
      <c r="I48" s="22"/>
      <c r="J48" s="23">
        <f>Table1149[Projected Cost]-Table1149[Actual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Table648[Projected Cost]-Table648[Actual Cost]</f>
        <v>0</v>
      </c>
      <c r="F49" s="27"/>
      <c r="G49" s="19" t="s">
        <v>68</v>
      </c>
      <c r="H49" s="22">
        <f>SUBTOTAL(109,Table1149[Projected Cost])</f>
        <v>0</v>
      </c>
      <c r="I49" s="22">
        <f>SUBTOTAL(109,Table1149[Actual Cost])</f>
        <v>0</v>
      </c>
      <c r="J49" s="25">
        <f>SUBTOTAL(109,Table1149[Difference])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Table648[Projected Cost]-Table648[Actual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Table648[Projected Cost]-Table648[Actual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Table648[Projected Cost]-Table648[Actual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SUBTOTAL(109,Table648[Projected Cost])</f>
        <v>0</v>
      </c>
      <c r="D53" s="22">
        <f>SUBTOTAL(109,Table648[Actual Cost])</f>
        <v>0</v>
      </c>
      <c r="E53" s="25">
        <f>SUBTOTAL(109,Table648[Difference])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Table755[Projected Cost]-Table755[Actual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Table755[Projected Cost]-Table755[Actual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Table755[Projected Cost]-Table755[Actual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Table755[Projected Cost]-Table755[Actual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Table755[Projected Cost]-Table755[Actual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Table755[Projected Cost]-Table755[Actual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Table755[Projected Cost]-Table755[Actual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SUBTOTAL(109,Table755[Projected Cost])</f>
        <v>0</v>
      </c>
      <c r="D63" s="22">
        <f>SUBTOTAL(109,Table755[Actual Cost])</f>
        <v>0</v>
      </c>
      <c r="E63" s="25">
        <f>SUBTOTAL(109,Table755[Difference])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Table157[Projected Cost]-Table157[Actual Cost]</f>
        <v>0</v>
      </c>
      <c r="F12" s="27"/>
      <c r="G12" s="26" t="s">
        <v>29</v>
      </c>
      <c r="H12" s="22"/>
      <c r="I12" s="22"/>
      <c r="J12" s="23">
        <f>Table267[Projected Cost]-Table267[Actual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Table157[Projected Cost]-Table157[Actual Cost]</f>
        <v>0</v>
      </c>
      <c r="F13" s="27"/>
      <c r="G13" s="26" t="s">
        <v>72</v>
      </c>
      <c r="H13" s="22"/>
      <c r="I13" s="22"/>
      <c r="J13" s="23">
        <f>Table267[Projected Cost]-Table267[Actual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Table157[Projected Cost]-Table157[Actual Cost]</f>
        <v>0</v>
      </c>
      <c r="F14" s="27"/>
      <c r="G14" s="26" t="s">
        <v>30</v>
      </c>
      <c r="H14" s="22"/>
      <c r="I14" s="22"/>
      <c r="J14" s="23">
        <f>Table267[Projected Cost]-Table267[Actual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Table157[Projected Cost]-Table157[Actual Cost]</f>
        <v>0</v>
      </c>
      <c r="F15" s="27"/>
      <c r="G15" s="26" t="s">
        <v>31</v>
      </c>
      <c r="H15" s="22"/>
      <c r="I15" s="22"/>
      <c r="J15" s="23">
        <f>Table267[Projected Cost]-Table267[Actual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Table157[Projected Cost]-Table157[Actual Cost]</f>
        <v>0</v>
      </c>
      <c r="F16" s="27"/>
      <c r="G16" s="26" t="s">
        <v>49</v>
      </c>
      <c r="H16" s="22"/>
      <c r="I16" s="22"/>
      <c r="J16" s="23">
        <f>Table267[Projected Cost]-Table267[Actual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Table157[Projected Cost]-Table157[Actual Cost]</f>
        <v>0</v>
      </c>
      <c r="F17" s="27"/>
      <c r="G17" s="26" t="s">
        <v>32</v>
      </c>
      <c r="H17" s="22"/>
      <c r="I17" s="22"/>
      <c r="J17" s="23">
        <f>Table267[Projected Cost]-Table267[Actual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Table157[Projected Cost]-Table157[Actual Cost]</f>
        <v>0</v>
      </c>
      <c r="F18" s="27"/>
      <c r="G18" s="26" t="s">
        <v>12</v>
      </c>
      <c r="H18" s="22"/>
      <c r="I18" s="22"/>
      <c r="J18" s="23">
        <f>Table267[Projected Cost]-Table267[Actual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Table157[Projected Cost]-Table157[Actual Cost]</f>
        <v>0</v>
      </c>
      <c r="F19" s="27"/>
      <c r="G19" s="26" t="s">
        <v>12</v>
      </c>
      <c r="H19" s="22"/>
      <c r="I19" s="22"/>
      <c r="J19" s="23">
        <f>Table267[Projected Cost]-Table267[Actual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Table157[Projected Cost]-Table157[Actual Cost]</f>
        <v>0</v>
      </c>
      <c r="F20" s="27"/>
      <c r="G20" s="26" t="s">
        <v>12</v>
      </c>
      <c r="H20" s="22"/>
      <c r="I20" s="22"/>
      <c r="J20" s="23">
        <f>Table267[Projected Cost]-Table267[Actual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Table157[Projected Cost]-Table157[Actual Cost]</f>
        <v>0</v>
      </c>
      <c r="F21" s="27"/>
      <c r="G21" s="19" t="s">
        <v>68</v>
      </c>
      <c r="H21" s="24">
        <f>SUBTOTAL(109,Table267[Projected Cost])</f>
        <v>0</v>
      </c>
      <c r="I21" s="22">
        <f>SUBTOTAL(109,Table267[Actual Cost])</f>
        <v>0</v>
      </c>
      <c r="J21" s="25">
        <f>SUBTOTAL(109,Table267[Difference])</f>
        <v>0</v>
      </c>
    </row>
    <row r="22" spans="1:10" ht="15.75" customHeight="1" x14ac:dyDescent="0.2">
      <c r="A22" s="2"/>
      <c r="B22" s="19" t="s">
        <v>68</v>
      </c>
      <c r="C22" s="22">
        <f>SUBTOTAL(109,Table157[Projected Cost])</f>
        <v>0</v>
      </c>
      <c r="D22" s="22">
        <f>SUBTOTAL(109,Table157[Actual Cost])</f>
        <v>0</v>
      </c>
      <c r="E22" s="25">
        <f>SUBTOTAL(109,Table157[Difference])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Table864[Projected Cost]-Table864[Actual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Table363[Projected Cost]-Table363[Actual Cost]</f>
        <v>0</v>
      </c>
      <c r="F25" s="27"/>
      <c r="G25" s="26" t="s">
        <v>41</v>
      </c>
      <c r="H25" s="22"/>
      <c r="I25" s="22"/>
      <c r="J25" s="23">
        <f>Table864[Projected Cost]-Table864[Actual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Table363[Projected Cost]-Table363[Actual Cost]</f>
        <v>0</v>
      </c>
      <c r="F26" s="27"/>
      <c r="G26" s="26" t="s">
        <v>50</v>
      </c>
      <c r="H26" s="22"/>
      <c r="I26" s="22"/>
      <c r="J26" s="23">
        <f>Table864[Projected Cost]-Table864[Actual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Table363[Projected Cost]-Table363[Actual Cost]</f>
        <v>0</v>
      </c>
      <c r="F27" s="27"/>
      <c r="G27" s="26" t="s">
        <v>50</v>
      </c>
      <c r="H27" s="22"/>
      <c r="I27" s="22"/>
      <c r="J27" s="23">
        <f>Table864[Projected Cost]-Table864[Actual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Table363[Projected Cost]-Table363[Actual Cost]</f>
        <v>0</v>
      </c>
      <c r="F28" s="27"/>
      <c r="G28" s="26" t="s">
        <v>50</v>
      </c>
      <c r="H28" s="22"/>
      <c r="I28" s="22"/>
      <c r="J28" s="23">
        <f>Table864[Projected Cost]-Table864[Actual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Table363[Projected Cost]-Table363[Actual Cost]</f>
        <v>0</v>
      </c>
      <c r="F29" s="27"/>
      <c r="G29" s="26" t="s">
        <v>12</v>
      </c>
      <c r="H29" s="22"/>
      <c r="I29" s="22"/>
      <c r="J29" s="23">
        <f>Table864[Projected Cost]-Table864[Actual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Table363[Projected Cost]-Table363[Actual Cost]</f>
        <v>0</v>
      </c>
      <c r="F30" s="27"/>
      <c r="G30" s="19" t="s">
        <v>68</v>
      </c>
      <c r="H30" s="22">
        <f>SUBTOTAL(109,Table864[Projected Cost])</f>
        <v>0</v>
      </c>
      <c r="I30" s="22">
        <f>SUBTOTAL(109,Table864[Actual Cost])</f>
        <v>0</v>
      </c>
      <c r="J30" s="25">
        <f>SUBTOTAL(109,Table864[Difference])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Table363[Projected Cost]-Table363[Actual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SUBTOTAL(109,Table363[Projected Cost])</f>
        <v>0</v>
      </c>
      <c r="D32" s="22">
        <f>SUBTOTAL(109,Table363[Actual Cost])</f>
        <v>0</v>
      </c>
      <c r="E32" s="25">
        <f>SUBTOTAL(109,Table363[Difference])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Table962[Projected Cost]-Table962[Actual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Table962[Projected Cost]-Table962[Actual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Table458[Projected Cost]-Table458[Actual Cost]</f>
        <v>0</v>
      </c>
      <c r="F35" s="27"/>
      <c r="G35" s="26" t="s">
        <v>37</v>
      </c>
      <c r="H35" s="22"/>
      <c r="I35" s="22"/>
      <c r="J35" s="23">
        <f>Table962[Projected Cost]-Table962[Actual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Table458[Projected Cost]-Table458[Actual Cost]</f>
        <v>0</v>
      </c>
      <c r="F36" s="27"/>
      <c r="G36" s="26" t="s">
        <v>12</v>
      </c>
      <c r="H36" s="22"/>
      <c r="I36" s="22"/>
      <c r="J36" s="23">
        <f>Table962[Projected Cost]-Table962[Actual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Table458[Projected Cost]-Table458[Actual Cost]</f>
        <v>0</v>
      </c>
      <c r="F37" s="27"/>
      <c r="G37" s="19" t="s">
        <v>68</v>
      </c>
      <c r="H37" s="22">
        <f>SUBTOTAL(109,Table962[Projected Cost])</f>
        <v>0</v>
      </c>
      <c r="I37" s="22">
        <f>SUBTOTAL(109,Table962[Actual Cost])</f>
        <v>0</v>
      </c>
      <c r="J37" s="25">
        <f>SUBTOTAL(109,Table962[Difference])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Table458[Projected Cost]-Table458[Actual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SUBTOTAL(109,Table458[Projected Cost])</f>
        <v>0</v>
      </c>
      <c r="D39" s="22">
        <f>SUBTOTAL(109,Table458[Actual Cost])</f>
        <v>0</v>
      </c>
      <c r="E39" s="25">
        <f>SUBTOTAL(109,Table458[Difference])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Table1065[Projected Cost]-Table1065[Actual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Table1065[Projected Cost]-Table1065[Actual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Table561[Projected Cost]-Table561[Actual Cost]</f>
        <v>0</v>
      </c>
      <c r="F42" s="27"/>
      <c r="G42" s="26" t="s">
        <v>12</v>
      </c>
      <c r="H42" s="22"/>
      <c r="I42" s="22"/>
      <c r="J42" s="23">
        <f>Table1065[Projected Cost]-Table1065[Actual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Table561[Projected Cost]-Table561[Actual Cost]</f>
        <v>0</v>
      </c>
      <c r="F43" s="27"/>
      <c r="G43" s="19" t="s">
        <v>68</v>
      </c>
      <c r="H43" s="22">
        <f>SUBTOTAL(109,Table1065[Projected Cost])</f>
        <v>0</v>
      </c>
      <c r="I43" s="22">
        <f>SUBTOTAL(109,Table1065[Actual Cost])</f>
        <v>0</v>
      </c>
      <c r="J43" s="25">
        <f>SUBTOTAL(109,Table1065[Difference])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Table561[Projected Cost]-Table561[Actual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SUBTOTAL(109,Table561[Projected Cost])</f>
        <v>0</v>
      </c>
      <c r="D45" s="22">
        <f>SUBTOTAL(109,Table561[Actual Cost])</f>
        <v>0</v>
      </c>
      <c r="E45" s="25">
        <f>SUBTOTAL(109,Table561[Difference])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Table1160[Projected Cost]-Table1160[Actual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Table1160[Projected Cost]-Table1160[Actual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Table659[Projected Cost]-Table659[Actual Cost]</f>
        <v>0</v>
      </c>
      <c r="F48" s="27"/>
      <c r="G48" s="26" t="s">
        <v>45</v>
      </c>
      <c r="H48" s="22"/>
      <c r="I48" s="22"/>
      <c r="J48" s="23">
        <f>Table1160[Projected Cost]-Table1160[Actual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Table659[Projected Cost]-Table659[Actual Cost]</f>
        <v>0</v>
      </c>
      <c r="F49" s="27"/>
      <c r="G49" s="19" t="s">
        <v>68</v>
      </c>
      <c r="H49" s="22">
        <f>SUBTOTAL(109,Table1160[Projected Cost])</f>
        <v>0</v>
      </c>
      <c r="I49" s="22">
        <f>SUBTOTAL(109,Table1160[Actual Cost])</f>
        <v>0</v>
      </c>
      <c r="J49" s="25">
        <f>SUBTOTAL(109,Table1160[Difference])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Table659[Projected Cost]-Table659[Actual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Table659[Projected Cost]-Table659[Actual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Table659[Projected Cost]-Table659[Actual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SUBTOTAL(109,Table659[Projected Cost])</f>
        <v>0</v>
      </c>
      <c r="D53" s="22">
        <f>SUBTOTAL(109,Table659[Actual Cost])</f>
        <v>0</v>
      </c>
      <c r="E53" s="25">
        <f>SUBTOTAL(109,Table659[Difference])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Table766[Projected Cost]-Table766[Actual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Table766[Projected Cost]-Table766[Actual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Table766[Projected Cost]-Table766[Actual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Table766[Projected Cost]-Table766[Actual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Table766[Projected Cost]-Table766[Actual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Table766[Projected Cost]-Table766[Actual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Table766[Projected Cost]-Table766[Actual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SUBTOTAL(109,Table766[Projected Cost])</f>
        <v>0</v>
      </c>
      <c r="D63" s="22">
        <f>SUBTOTAL(109,Table766[Actual Cost])</f>
        <v>0</v>
      </c>
      <c r="E63" s="25">
        <f>SUBTOTAL(109,Table766[Difference])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Table168[Projected Cost]-Table168[Actual Cost]</f>
        <v>0</v>
      </c>
      <c r="F12" s="27"/>
      <c r="G12" s="26" t="s">
        <v>29</v>
      </c>
      <c r="H12" s="22"/>
      <c r="I12" s="22"/>
      <c r="J12" s="23">
        <f>Table278[Projected Cost]-Table278[Actual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Table168[Projected Cost]-Table168[Actual Cost]</f>
        <v>0</v>
      </c>
      <c r="F13" s="27"/>
      <c r="G13" s="26" t="s">
        <v>72</v>
      </c>
      <c r="H13" s="22"/>
      <c r="I13" s="22"/>
      <c r="J13" s="23">
        <f>Table278[Projected Cost]-Table278[Actual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Table168[Projected Cost]-Table168[Actual Cost]</f>
        <v>0</v>
      </c>
      <c r="F14" s="27"/>
      <c r="G14" s="26" t="s">
        <v>30</v>
      </c>
      <c r="H14" s="22"/>
      <c r="I14" s="22"/>
      <c r="J14" s="23">
        <f>Table278[Projected Cost]-Table278[Actual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Table168[Projected Cost]-Table168[Actual Cost]</f>
        <v>0</v>
      </c>
      <c r="F15" s="27"/>
      <c r="G15" s="26" t="s">
        <v>31</v>
      </c>
      <c r="H15" s="22"/>
      <c r="I15" s="22"/>
      <c r="J15" s="23">
        <f>Table278[Projected Cost]-Table278[Actual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Table168[Projected Cost]-Table168[Actual Cost]</f>
        <v>0</v>
      </c>
      <c r="F16" s="27"/>
      <c r="G16" s="26" t="s">
        <v>49</v>
      </c>
      <c r="H16" s="22"/>
      <c r="I16" s="22"/>
      <c r="J16" s="23">
        <f>Table278[Projected Cost]-Table278[Actual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Table168[Projected Cost]-Table168[Actual Cost]</f>
        <v>0</v>
      </c>
      <c r="F17" s="27"/>
      <c r="G17" s="26" t="s">
        <v>32</v>
      </c>
      <c r="H17" s="22"/>
      <c r="I17" s="22"/>
      <c r="J17" s="23">
        <f>Table278[Projected Cost]-Table278[Actual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Table168[Projected Cost]-Table168[Actual Cost]</f>
        <v>0</v>
      </c>
      <c r="F18" s="27"/>
      <c r="G18" s="26" t="s">
        <v>12</v>
      </c>
      <c r="H18" s="22"/>
      <c r="I18" s="22"/>
      <c r="J18" s="23">
        <f>Table278[Projected Cost]-Table278[Actual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Table168[Projected Cost]-Table168[Actual Cost]</f>
        <v>0</v>
      </c>
      <c r="F19" s="27"/>
      <c r="G19" s="26" t="s">
        <v>12</v>
      </c>
      <c r="H19" s="22"/>
      <c r="I19" s="22"/>
      <c r="J19" s="23">
        <f>Table278[Projected Cost]-Table278[Actual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Table168[Projected Cost]-Table168[Actual Cost]</f>
        <v>0</v>
      </c>
      <c r="F20" s="27"/>
      <c r="G20" s="26" t="s">
        <v>12</v>
      </c>
      <c r="H20" s="22"/>
      <c r="I20" s="22"/>
      <c r="J20" s="23">
        <f>Table278[Projected Cost]-Table278[Actual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Table168[Projected Cost]-Table168[Actual Cost]</f>
        <v>0</v>
      </c>
      <c r="F21" s="27"/>
      <c r="G21" s="19" t="s">
        <v>68</v>
      </c>
      <c r="H21" s="24">
        <f>SUBTOTAL(109,Table278[Projected Cost])</f>
        <v>0</v>
      </c>
      <c r="I21" s="22">
        <f>SUBTOTAL(109,Table278[Actual Cost])</f>
        <v>0</v>
      </c>
      <c r="J21" s="25">
        <f>SUBTOTAL(109,Table278[Difference])</f>
        <v>0</v>
      </c>
    </row>
    <row r="22" spans="1:10" ht="15.75" customHeight="1" x14ac:dyDescent="0.2">
      <c r="A22" s="2"/>
      <c r="B22" s="19" t="s">
        <v>68</v>
      </c>
      <c r="C22" s="22">
        <f>SUBTOTAL(109,Table168[Projected Cost])</f>
        <v>0</v>
      </c>
      <c r="D22" s="22">
        <f>SUBTOTAL(109,Table168[Actual Cost])</f>
        <v>0</v>
      </c>
      <c r="E22" s="25">
        <f>SUBTOTAL(109,Table168[Difference])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Table875[Projected Cost]-Table875[Actual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Table374[Projected Cost]-Table374[Actual Cost]</f>
        <v>0</v>
      </c>
      <c r="F25" s="27"/>
      <c r="G25" s="26" t="s">
        <v>41</v>
      </c>
      <c r="H25" s="22"/>
      <c r="I25" s="22"/>
      <c r="J25" s="23">
        <f>Table875[Projected Cost]-Table875[Actual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Table374[Projected Cost]-Table374[Actual Cost]</f>
        <v>0</v>
      </c>
      <c r="F26" s="27"/>
      <c r="G26" s="26" t="s">
        <v>50</v>
      </c>
      <c r="H26" s="22"/>
      <c r="I26" s="22"/>
      <c r="J26" s="23">
        <f>Table875[Projected Cost]-Table875[Actual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Table374[Projected Cost]-Table374[Actual Cost]</f>
        <v>0</v>
      </c>
      <c r="F27" s="27"/>
      <c r="G27" s="26" t="s">
        <v>50</v>
      </c>
      <c r="H27" s="22"/>
      <c r="I27" s="22"/>
      <c r="J27" s="23">
        <f>Table875[Projected Cost]-Table875[Actual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Table374[Projected Cost]-Table374[Actual Cost]</f>
        <v>0</v>
      </c>
      <c r="F28" s="27"/>
      <c r="G28" s="26" t="s">
        <v>50</v>
      </c>
      <c r="H28" s="22"/>
      <c r="I28" s="22"/>
      <c r="J28" s="23">
        <f>Table875[Projected Cost]-Table875[Actual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Table374[Projected Cost]-Table374[Actual Cost]</f>
        <v>0</v>
      </c>
      <c r="F29" s="27"/>
      <c r="G29" s="26" t="s">
        <v>12</v>
      </c>
      <c r="H29" s="22"/>
      <c r="I29" s="22"/>
      <c r="J29" s="23">
        <f>Table875[Projected Cost]-Table875[Actual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Table374[Projected Cost]-Table374[Actual Cost]</f>
        <v>0</v>
      </c>
      <c r="F30" s="27"/>
      <c r="G30" s="19" t="s">
        <v>68</v>
      </c>
      <c r="H30" s="22">
        <f>SUBTOTAL(109,Table875[Projected Cost])</f>
        <v>0</v>
      </c>
      <c r="I30" s="22">
        <f>SUBTOTAL(109,Table875[Actual Cost])</f>
        <v>0</v>
      </c>
      <c r="J30" s="25">
        <f>SUBTOTAL(109,Table875[Difference])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Table374[Projected Cost]-Table374[Actual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SUBTOTAL(109,Table374[Projected Cost])</f>
        <v>0</v>
      </c>
      <c r="D32" s="22">
        <f>SUBTOTAL(109,Table374[Actual Cost])</f>
        <v>0</v>
      </c>
      <c r="E32" s="25">
        <f>SUBTOTAL(109,Table374[Difference])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Table973[Projected Cost]-Table973[Actual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Table973[Projected Cost]-Table973[Actual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Table469[Projected Cost]-Table469[Actual Cost]</f>
        <v>0</v>
      </c>
      <c r="F35" s="27"/>
      <c r="G35" s="26" t="s">
        <v>37</v>
      </c>
      <c r="H35" s="22"/>
      <c r="I35" s="22"/>
      <c r="J35" s="23">
        <f>Table973[Projected Cost]-Table973[Actual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Table469[Projected Cost]-Table469[Actual Cost]</f>
        <v>0</v>
      </c>
      <c r="F36" s="27"/>
      <c r="G36" s="26" t="s">
        <v>12</v>
      </c>
      <c r="H36" s="22"/>
      <c r="I36" s="22"/>
      <c r="J36" s="23">
        <f>Table973[Projected Cost]-Table973[Actual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Table469[Projected Cost]-Table469[Actual Cost]</f>
        <v>0</v>
      </c>
      <c r="F37" s="27"/>
      <c r="G37" s="19" t="s">
        <v>68</v>
      </c>
      <c r="H37" s="22">
        <f>SUBTOTAL(109,Table973[Projected Cost])</f>
        <v>0</v>
      </c>
      <c r="I37" s="22">
        <f>SUBTOTAL(109,Table973[Actual Cost])</f>
        <v>0</v>
      </c>
      <c r="J37" s="25">
        <f>SUBTOTAL(109,Table973[Difference])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Table469[Projected Cost]-Table469[Actual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SUBTOTAL(109,Table469[Projected Cost])</f>
        <v>0</v>
      </c>
      <c r="D39" s="22">
        <f>SUBTOTAL(109,Table469[Actual Cost])</f>
        <v>0</v>
      </c>
      <c r="E39" s="25">
        <f>SUBTOTAL(109,Table469[Difference])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Table1076[Projected Cost]-Table1076[Actual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Table1076[Projected Cost]-Table1076[Actual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Table572[Projected Cost]-Table572[Actual Cost]</f>
        <v>0</v>
      </c>
      <c r="F42" s="27"/>
      <c r="G42" s="26" t="s">
        <v>12</v>
      </c>
      <c r="H42" s="22"/>
      <c r="I42" s="22"/>
      <c r="J42" s="23">
        <f>Table1076[Projected Cost]-Table1076[Actual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Table572[Projected Cost]-Table572[Actual Cost]</f>
        <v>0</v>
      </c>
      <c r="F43" s="27"/>
      <c r="G43" s="19" t="s">
        <v>68</v>
      </c>
      <c r="H43" s="22">
        <f>SUBTOTAL(109,Table1076[Projected Cost])</f>
        <v>0</v>
      </c>
      <c r="I43" s="22">
        <f>SUBTOTAL(109,Table1076[Actual Cost])</f>
        <v>0</v>
      </c>
      <c r="J43" s="25">
        <f>SUBTOTAL(109,Table1076[Difference])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Table572[Projected Cost]-Table572[Actual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SUBTOTAL(109,Table572[Projected Cost])</f>
        <v>0</v>
      </c>
      <c r="D45" s="22">
        <f>SUBTOTAL(109,Table572[Actual Cost])</f>
        <v>0</v>
      </c>
      <c r="E45" s="25">
        <f>SUBTOTAL(109,Table572[Difference])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Table1171[Projected Cost]-Table1171[Actual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Table1171[Projected Cost]-Table1171[Actual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Table670[Projected Cost]-Table670[Actual Cost]</f>
        <v>0</v>
      </c>
      <c r="F48" s="27"/>
      <c r="G48" s="26" t="s">
        <v>45</v>
      </c>
      <c r="H48" s="22"/>
      <c r="I48" s="22"/>
      <c r="J48" s="23">
        <f>Table1171[Projected Cost]-Table1171[Actual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Table670[Projected Cost]-Table670[Actual Cost]</f>
        <v>0</v>
      </c>
      <c r="F49" s="27"/>
      <c r="G49" s="19" t="s">
        <v>68</v>
      </c>
      <c r="H49" s="22">
        <f>SUBTOTAL(109,Table1171[Projected Cost])</f>
        <v>0</v>
      </c>
      <c r="I49" s="22">
        <f>SUBTOTAL(109,Table1171[Actual Cost])</f>
        <v>0</v>
      </c>
      <c r="J49" s="25">
        <f>SUBTOTAL(109,Table1171[Difference])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Table670[Projected Cost]-Table670[Actual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Table670[Projected Cost]-Table670[Actual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Table670[Projected Cost]-Table670[Actual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SUBTOTAL(109,Table670[Projected Cost])</f>
        <v>0</v>
      </c>
      <c r="D53" s="22">
        <f>SUBTOTAL(109,Table670[Actual Cost])</f>
        <v>0</v>
      </c>
      <c r="E53" s="25">
        <f>SUBTOTAL(109,Table670[Difference])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Table777[Projected Cost]-Table777[Actual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Table777[Projected Cost]-Table777[Actual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Table777[Projected Cost]-Table777[Actual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Table777[Projected Cost]-Table777[Actual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Table777[Projected Cost]-Table777[Actual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Table777[Projected Cost]-Table777[Actual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Table777[Projected Cost]-Table777[Actual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SUBTOTAL(109,Table777[Projected Cost])</f>
        <v>0</v>
      </c>
      <c r="D63" s="22">
        <f>SUBTOTAL(109,Table777[Actual Cost])</f>
        <v>0</v>
      </c>
      <c r="E63" s="25">
        <f>SUBTOTAL(109,Table777[Difference])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Table179[Projected Cost]-Table179[Actual Cost]</f>
        <v>0</v>
      </c>
      <c r="F12" s="27"/>
      <c r="G12" s="26" t="s">
        <v>29</v>
      </c>
      <c r="H12" s="22"/>
      <c r="I12" s="22"/>
      <c r="J12" s="23">
        <f>Table289[Projected Cost]-Table289[Actual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Table179[Projected Cost]-Table179[Actual Cost]</f>
        <v>0</v>
      </c>
      <c r="F13" s="27"/>
      <c r="G13" s="26" t="s">
        <v>72</v>
      </c>
      <c r="H13" s="22"/>
      <c r="I13" s="22"/>
      <c r="J13" s="23">
        <f>Table289[Projected Cost]-Table289[Actual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Table179[Projected Cost]-Table179[Actual Cost]</f>
        <v>0</v>
      </c>
      <c r="F14" s="27"/>
      <c r="G14" s="26" t="s">
        <v>30</v>
      </c>
      <c r="H14" s="22"/>
      <c r="I14" s="22"/>
      <c r="J14" s="23">
        <f>Table289[Projected Cost]-Table289[Actual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Table179[Projected Cost]-Table179[Actual Cost]</f>
        <v>0</v>
      </c>
      <c r="F15" s="27"/>
      <c r="G15" s="26" t="s">
        <v>31</v>
      </c>
      <c r="H15" s="22"/>
      <c r="I15" s="22"/>
      <c r="J15" s="23">
        <f>Table289[Projected Cost]-Table289[Actual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Table179[Projected Cost]-Table179[Actual Cost]</f>
        <v>0</v>
      </c>
      <c r="F16" s="27"/>
      <c r="G16" s="26" t="s">
        <v>49</v>
      </c>
      <c r="H16" s="22"/>
      <c r="I16" s="22"/>
      <c r="J16" s="23">
        <f>Table289[Projected Cost]-Table289[Actual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Table179[Projected Cost]-Table179[Actual Cost]</f>
        <v>0</v>
      </c>
      <c r="F17" s="27"/>
      <c r="G17" s="26" t="s">
        <v>32</v>
      </c>
      <c r="H17" s="22"/>
      <c r="I17" s="22"/>
      <c r="J17" s="23">
        <f>Table289[Projected Cost]-Table289[Actual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Table179[Projected Cost]-Table179[Actual Cost]</f>
        <v>0</v>
      </c>
      <c r="F18" s="27"/>
      <c r="G18" s="26" t="s">
        <v>12</v>
      </c>
      <c r="H18" s="22"/>
      <c r="I18" s="22"/>
      <c r="J18" s="23">
        <f>Table289[Projected Cost]-Table289[Actual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Table179[Projected Cost]-Table179[Actual Cost]</f>
        <v>0</v>
      </c>
      <c r="F19" s="27"/>
      <c r="G19" s="26" t="s">
        <v>12</v>
      </c>
      <c r="H19" s="22"/>
      <c r="I19" s="22"/>
      <c r="J19" s="23">
        <f>Table289[Projected Cost]-Table289[Actual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Table179[Projected Cost]-Table179[Actual Cost]</f>
        <v>0</v>
      </c>
      <c r="F20" s="27"/>
      <c r="G20" s="26" t="s">
        <v>12</v>
      </c>
      <c r="H20" s="22"/>
      <c r="I20" s="22"/>
      <c r="J20" s="23">
        <f>Table289[Projected Cost]-Table289[Actual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Table179[Projected Cost]-Table179[Actual Cost]</f>
        <v>0</v>
      </c>
      <c r="F21" s="27"/>
      <c r="G21" s="19" t="s">
        <v>68</v>
      </c>
      <c r="H21" s="24">
        <f>SUBTOTAL(109,Table289[Projected Cost])</f>
        <v>0</v>
      </c>
      <c r="I21" s="22">
        <f>SUBTOTAL(109,Table289[Actual Cost])</f>
        <v>0</v>
      </c>
      <c r="J21" s="25">
        <f>SUBTOTAL(109,Table289[Difference])</f>
        <v>0</v>
      </c>
    </row>
    <row r="22" spans="1:10" ht="15.75" customHeight="1" x14ac:dyDescent="0.2">
      <c r="A22" s="2"/>
      <c r="B22" s="19" t="s">
        <v>68</v>
      </c>
      <c r="C22" s="22">
        <f>SUBTOTAL(109,Table179[Projected Cost])</f>
        <v>0</v>
      </c>
      <c r="D22" s="22">
        <f>SUBTOTAL(109,Table179[Actual Cost])</f>
        <v>0</v>
      </c>
      <c r="E22" s="25">
        <f>SUBTOTAL(109,Table179[Difference])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Table886[Projected Cost]-Table886[Actual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Table385[Projected Cost]-Table385[Actual Cost]</f>
        <v>0</v>
      </c>
      <c r="F25" s="27"/>
      <c r="G25" s="26" t="s">
        <v>41</v>
      </c>
      <c r="H25" s="22"/>
      <c r="I25" s="22"/>
      <c r="J25" s="23">
        <f>Table886[Projected Cost]-Table886[Actual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Table385[Projected Cost]-Table385[Actual Cost]</f>
        <v>0</v>
      </c>
      <c r="F26" s="27"/>
      <c r="G26" s="26" t="s">
        <v>50</v>
      </c>
      <c r="H26" s="22"/>
      <c r="I26" s="22"/>
      <c r="J26" s="23">
        <f>Table886[Projected Cost]-Table886[Actual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Table385[Projected Cost]-Table385[Actual Cost]</f>
        <v>0</v>
      </c>
      <c r="F27" s="27"/>
      <c r="G27" s="26" t="s">
        <v>50</v>
      </c>
      <c r="H27" s="22"/>
      <c r="I27" s="22"/>
      <c r="J27" s="23">
        <f>Table886[Projected Cost]-Table886[Actual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Table385[Projected Cost]-Table385[Actual Cost]</f>
        <v>0</v>
      </c>
      <c r="F28" s="27"/>
      <c r="G28" s="26" t="s">
        <v>50</v>
      </c>
      <c r="H28" s="22"/>
      <c r="I28" s="22"/>
      <c r="J28" s="23">
        <f>Table886[Projected Cost]-Table886[Actual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Table385[Projected Cost]-Table385[Actual Cost]</f>
        <v>0</v>
      </c>
      <c r="F29" s="27"/>
      <c r="G29" s="26" t="s">
        <v>12</v>
      </c>
      <c r="H29" s="22"/>
      <c r="I29" s="22"/>
      <c r="J29" s="23">
        <f>Table886[Projected Cost]-Table886[Actual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Table385[Projected Cost]-Table385[Actual Cost]</f>
        <v>0</v>
      </c>
      <c r="F30" s="27"/>
      <c r="G30" s="19" t="s">
        <v>68</v>
      </c>
      <c r="H30" s="22">
        <f>SUBTOTAL(109,Table886[Projected Cost])</f>
        <v>0</v>
      </c>
      <c r="I30" s="22">
        <f>SUBTOTAL(109,Table886[Actual Cost])</f>
        <v>0</v>
      </c>
      <c r="J30" s="25">
        <f>SUBTOTAL(109,Table886[Difference])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Table385[Projected Cost]-Table385[Actual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SUBTOTAL(109,Table385[Projected Cost])</f>
        <v>0</v>
      </c>
      <c r="D32" s="22">
        <f>SUBTOTAL(109,Table385[Actual Cost])</f>
        <v>0</v>
      </c>
      <c r="E32" s="25">
        <f>SUBTOTAL(109,Table385[Difference])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Table984[Projected Cost]-Table984[Actual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Table984[Projected Cost]-Table984[Actual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Table480[Projected Cost]-Table480[Actual Cost]</f>
        <v>0</v>
      </c>
      <c r="F35" s="27"/>
      <c r="G35" s="26" t="s">
        <v>37</v>
      </c>
      <c r="H35" s="22"/>
      <c r="I35" s="22"/>
      <c r="J35" s="23">
        <f>Table984[Projected Cost]-Table984[Actual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Table480[Projected Cost]-Table480[Actual Cost]</f>
        <v>0</v>
      </c>
      <c r="F36" s="27"/>
      <c r="G36" s="26" t="s">
        <v>12</v>
      </c>
      <c r="H36" s="22"/>
      <c r="I36" s="22"/>
      <c r="J36" s="23">
        <f>Table984[Projected Cost]-Table984[Actual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Table480[Projected Cost]-Table480[Actual Cost]</f>
        <v>0</v>
      </c>
      <c r="F37" s="27"/>
      <c r="G37" s="19" t="s">
        <v>68</v>
      </c>
      <c r="H37" s="22">
        <f>SUBTOTAL(109,Table984[Projected Cost])</f>
        <v>0</v>
      </c>
      <c r="I37" s="22">
        <f>SUBTOTAL(109,Table984[Actual Cost])</f>
        <v>0</v>
      </c>
      <c r="J37" s="25">
        <f>SUBTOTAL(109,Table984[Difference])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Table480[Projected Cost]-Table480[Actual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SUBTOTAL(109,Table480[Projected Cost])</f>
        <v>0</v>
      </c>
      <c r="D39" s="22">
        <f>SUBTOTAL(109,Table480[Actual Cost])</f>
        <v>0</v>
      </c>
      <c r="E39" s="25">
        <f>SUBTOTAL(109,Table480[Difference])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Table1087[Projected Cost]-Table1087[Actual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Table1087[Projected Cost]-Table1087[Actual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Table583[Projected Cost]-Table583[Actual Cost]</f>
        <v>0</v>
      </c>
      <c r="F42" s="27"/>
      <c r="G42" s="26" t="s">
        <v>12</v>
      </c>
      <c r="H42" s="22"/>
      <c r="I42" s="22"/>
      <c r="J42" s="23">
        <f>Table1087[Projected Cost]-Table1087[Actual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Table583[Projected Cost]-Table583[Actual Cost]</f>
        <v>0</v>
      </c>
      <c r="F43" s="27"/>
      <c r="G43" s="19" t="s">
        <v>68</v>
      </c>
      <c r="H43" s="22">
        <f>SUBTOTAL(109,Table1087[Projected Cost])</f>
        <v>0</v>
      </c>
      <c r="I43" s="22">
        <f>SUBTOTAL(109,Table1087[Actual Cost])</f>
        <v>0</v>
      </c>
      <c r="J43" s="25">
        <f>SUBTOTAL(109,Table1087[Difference])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Table583[Projected Cost]-Table583[Actual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SUBTOTAL(109,Table583[Projected Cost])</f>
        <v>0</v>
      </c>
      <c r="D45" s="22">
        <f>SUBTOTAL(109,Table583[Actual Cost])</f>
        <v>0</v>
      </c>
      <c r="E45" s="25">
        <f>SUBTOTAL(109,Table583[Difference])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Table1182[Projected Cost]-Table1182[Actual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Table1182[Projected Cost]-Table1182[Actual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Table681[Projected Cost]-Table681[Actual Cost]</f>
        <v>0</v>
      </c>
      <c r="F48" s="27"/>
      <c r="G48" s="26" t="s">
        <v>45</v>
      </c>
      <c r="H48" s="22"/>
      <c r="I48" s="22"/>
      <c r="J48" s="23">
        <f>Table1182[Projected Cost]-Table1182[Actual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Table681[Projected Cost]-Table681[Actual Cost]</f>
        <v>0</v>
      </c>
      <c r="F49" s="27"/>
      <c r="G49" s="19" t="s">
        <v>68</v>
      </c>
      <c r="H49" s="22">
        <f>SUBTOTAL(109,Table1182[Projected Cost])</f>
        <v>0</v>
      </c>
      <c r="I49" s="22">
        <f>SUBTOTAL(109,Table1182[Actual Cost])</f>
        <v>0</v>
      </c>
      <c r="J49" s="25">
        <f>SUBTOTAL(109,Table1182[Difference])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Table681[Projected Cost]-Table681[Actual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Table681[Projected Cost]-Table681[Actual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Table681[Projected Cost]-Table681[Actual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SUBTOTAL(109,Table681[Projected Cost])</f>
        <v>0</v>
      </c>
      <c r="D53" s="22">
        <f>SUBTOTAL(109,Table681[Actual Cost])</f>
        <v>0</v>
      </c>
      <c r="E53" s="25">
        <f>SUBTOTAL(109,Table681[Difference])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Table788[Projected Cost]-Table788[Actual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Table788[Projected Cost]-Table788[Actual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Table788[Projected Cost]-Table788[Actual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Table788[Projected Cost]-Table788[Actual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Table788[Projected Cost]-Table788[Actual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Table788[Projected Cost]-Table788[Actual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Table788[Projected Cost]-Table788[Actual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SUBTOTAL(109,Table788[Projected Cost])</f>
        <v>0</v>
      </c>
      <c r="D63" s="22">
        <f>SUBTOTAL(109,Table788[Actual Cost])</f>
        <v>0</v>
      </c>
      <c r="E63" s="25">
        <f>SUBTOTAL(109,Table788[Difference])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showGridLines="0" workbookViewId="0">
      <selection activeCell="E4" sqref="E4"/>
    </sheetView>
  </sheetViews>
  <sheetFormatPr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85.5" customHeight="1" x14ac:dyDescent="0.2">
      <c r="A2" s="3"/>
      <c r="B2" s="32" t="s">
        <v>42</v>
      </c>
      <c r="C2" s="32"/>
      <c r="D2" s="32"/>
      <c r="E2" s="32"/>
      <c r="F2" s="32"/>
      <c r="G2" s="32"/>
      <c r="H2" s="32"/>
      <c r="I2" s="32"/>
      <c r="J2" s="32"/>
    </row>
    <row r="3" spans="1:10" ht="8.1" customHeight="1" x14ac:dyDescent="0.2">
      <c r="A3" s="2"/>
      <c r="B3" s="42"/>
      <c r="C3" s="42"/>
      <c r="D3" s="42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9" t="s">
        <v>64</v>
      </c>
      <c r="C4" s="37" t="s">
        <v>3</v>
      </c>
      <c r="D4" s="38"/>
      <c r="E4" s="18">
        <v>0</v>
      </c>
      <c r="F4" s="5"/>
      <c r="G4" s="33" t="s">
        <v>69</v>
      </c>
      <c r="H4" s="33"/>
      <c r="I4" s="33"/>
      <c r="J4" s="34">
        <f>E6-J51</f>
        <v>0</v>
      </c>
    </row>
    <row r="5" spans="1:10" ht="15.95" customHeight="1" x14ac:dyDescent="0.2">
      <c r="A5" s="2"/>
      <c r="B5" s="40"/>
      <c r="C5" s="37" t="s">
        <v>43</v>
      </c>
      <c r="D5" s="38"/>
      <c r="E5" s="18">
        <v>0</v>
      </c>
      <c r="F5" s="5"/>
      <c r="G5" s="33"/>
      <c r="H5" s="33"/>
      <c r="I5" s="33"/>
      <c r="J5" s="34"/>
    </row>
    <row r="6" spans="1:10" ht="15.95" customHeight="1" x14ac:dyDescent="0.2">
      <c r="A6" s="2"/>
      <c r="B6" s="41"/>
      <c r="C6" s="35" t="s">
        <v>44</v>
      </c>
      <c r="D6" s="36"/>
      <c r="E6" s="28">
        <f>E4+E5</f>
        <v>0</v>
      </c>
      <c r="F6" s="5"/>
      <c r="G6" s="33" t="s">
        <v>70</v>
      </c>
      <c r="H6" s="33"/>
      <c r="I6" s="33"/>
      <c r="J6" s="34">
        <f>E9-J53</f>
        <v>0</v>
      </c>
    </row>
    <row r="7" spans="1:10" ht="15.95" customHeight="1" x14ac:dyDescent="0.2">
      <c r="A7" s="2"/>
      <c r="B7" s="39" t="s">
        <v>63</v>
      </c>
      <c r="C7" s="37" t="s">
        <v>3</v>
      </c>
      <c r="D7" s="38"/>
      <c r="E7" s="18">
        <v>0</v>
      </c>
      <c r="F7" s="5"/>
      <c r="G7" s="33"/>
      <c r="H7" s="33"/>
      <c r="I7" s="33"/>
      <c r="J7" s="34"/>
    </row>
    <row r="8" spans="1:10" ht="15.95" customHeight="1" x14ac:dyDescent="0.2">
      <c r="A8" s="2"/>
      <c r="B8" s="40"/>
      <c r="C8" s="37" t="s">
        <v>43</v>
      </c>
      <c r="D8" s="38"/>
      <c r="E8" s="18">
        <v>0</v>
      </c>
      <c r="F8" s="5"/>
      <c r="G8" s="33" t="s">
        <v>71</v>
      </c>
      <c r="H8" s="33"/>
      <c r="I8" s="33"/>
      <c r="J8" s="34">
        <f>J6-J4</f>
        <v>0</v>
      </c>
    </row>
    <row r="9" spans="1:10" ht="15.95" customHeight="1" x14ac:dyDescent="0.2">
      <c r="A9" s="2"/>
      <c r="B9" s="41"/>
      <c r="C9" s="35" t="s">
        <v>44</v>
      </c>
      <c r="D9" s="36"/>
      <c r="E9" s="28">
        <f>E7+E8</f>
        <v>0</v>
      </c>
      <c r="F9" s="5"/>
      <c r="G9" s="33"/>
      <c r="H9" s="33"/>
      <c r="I9" s="33"/>
      <c r="J9" s="34"/>
    </row>
    <row r="10" spans="1:10" ht="15.95" customHeight="1" x14ac:dyDescent="0.2">
      <c r="A10" s="2"/>
      <c r="B10" s="29"/>
      <c r="C10" s="2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53</v>
      </c>
      <c r="C11" s="20" t="s">
        <v>0</v>
      </c>
      <c r="D11" s="20" t="s">
        <v>1</v>
      </c>
      <c r="E11" s="21" t="s">
        <v>2</v>
      </c>
      <c r="F11" s="16"/>
      <c r="G11" s="19" t="s">
        <v>54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/>
      <c r="D12" s="22"/>
      <c r="E12" s="23">
        <f>Table190[Projected Cost]-Table190[Actual Cost]</f>
        <v>0</v>
      </c>
      <c r="F12" s="27"/>
      <c r="G12" s="26" t="s">
        <v>29</v>
      </c>
      <c r="H12" s="22"/>
      <c r="I12" s="22"/>
      <c r="J12" s="23">
        <f>Table2100[Projected Cost]-Table2100[Actual Cost]</f>
        <v>0</v>
      </c>
    </row>
    <row r="13" spans="1:10" ht="15.75" customHeight="1" x14ac:dyDescent="0.2">
      <c r="A13" s="2"/>
      <c r="B13" s="26" t="s">
        <v>5</v>
      </c>
      <c r="C13" s="22"/>
      <c r="D13" s="22"/>
      <c r="E13" s="23">
        <f>Table190[Projected Cost]-Table190[Actual Cost]</f>
        <v>0</v>
      </c>
      <c r="F13" s="27"/>
      <c r="G13" s="26" t="s">
        <v>72</v>
      </c>
      <c r="H13" s="22"/>
      <c r="I13" s="22"/>
      <c r="J13" s="23">
        <f>Table2100[Projected Cost]-Table2100[Actual Cost]</f>
        <v>0</v>
      </c>
    </row>
    <row r="14" spans="1:10" ht="15.75" customHeight="1" x14ac:dyDescent="0.2">
      <c r="A14" s="2"/>
      <c r="B14" s="26" t="s">
        <v>47</v>
      </c>
      <c r="C14" s="22"/>
      <c r="D14" s="22"/>
      <c r="E14" s="23">
        <f>Table190[Projected Cost]-Table190[Actual Cost]</f>
        <v>0</v>
      </c>
      <c r="F14" s="27"/>
      <c r="G14" s="26" t="s">
        <v>30</v>
      </c>
      <c r="H14" s="22"/>
      <c r="I14" s="22"/>
      <c r="J14" s="23">
        <f>Table2100[Projected Cost]-Table2100[Actual Cost]</f>
        <v>0</v>
      </c>
    </row>
    <row r="15" spans="1:10" ht="15.75" customHeight="1" x14ac:dyDescent="0.2">
      <c r="A15" s="2"/>
      <c r="B15" s="26" t="s">
        <v>6</v>
      </c>
      <c r="C15" s="22"/>
      <c r="D15" s="22"/>
      <c r="E15" s="23">
        <f>Table190[Projected Cost]-Table190[Actual Cost]</f>
        <v>0</v>
      </c>
      <c r="F15" s="27"/>
      <c r="G15" s="26" t="s">
        <v>31</v>
      </c>
      <c r="H15" s="22"/>
      <c r="I15" s="22"/>
      <c r="J15" s="23">
        <f>Table2100[Projected Cost]-Table2100[Actual Cost]</f>
        <v>0</v>
      </c>
    </row>
    <row r="16" spans="1:10" ht="15.75" customHeight="1" x14ac:dyDescent="0.2">
      <c r="A16" s="2"/>
      <c r="B16" s="26" t="s">
        <v>7</v>
      </c>
      <c r="C16" s="22"/>
      <c r="D16" s="22"/>
      <c r="E16" s="23">
        <f>Table190[Projected Cost]-Table190[Actual Cost]</f>
        <v>0</v>
      </c>
      <c r="F16" s="27"/>
      <c r="G16" s="26" t="s">
        <v>49</v>
      </c>
      <c r="H16" s="22"/>
      <c r="I16" s="22"/>
      <c r="J16" s="23">
        <f>Table2100[Projected Cost]-Table2100[Actual Cost]</f>
        <v>0</v>
      </c>
    </row>
    <row r="17" spans="1:10" ht="15.75" customHeight="1" x14ac:dyDescent="0.2">
      <c r="A17" s="2"/>
      <c r="B17" s="26" t="s">
        <v>8</v>
      </c>
      <c r="C17" s="22"/>
      <c r="D17" s="22"/>
      <c r="E17" s="23">
        <f>Table190[Projected Cost]-Table190[Actual Cost]</f>
        <v>0</v>
      </c>
      <c r="F17" s="27"/>
      <c r="G17" s="26" t="s">
        <v>32</v>
      </c>
      <c r="H17" s="22"/>
      <c r="I17" s="22"/>
      <c r="J17" s="23">
        <f>Table2100[Projected Cost]-Table2100[Actual Cost]</f>
        <v>0</v>
      </c>
    </row>
    <row r="18" spans="1:10" ht="15.75" customHeight="1" x14ac:dyDescent="0.2">
      <c r="A18" s="2"/>
      <c r="B18" s="26" t="s">
        <v>9</v>
      </c>
      <c r="C18" s="22"/>
      <c r="D18" s="22"/>
      <c r="E18" s="23">
        <f>Table190[Projected Cost]-Table190[Actual Cost]</f>
        <v>0</v>
      </c>
      <c r="F18" s="27"/>
      <c r="G18" s="26" t="s">
        <v>12</v>
      </c>
      <c r="H18" s="22"/>
      <c r="I18" s="22"/>
      <c r="J18" s="23">
        <f>Table2100[Projected Cost]-Table2100[Actual Cost]</f>
        <v>0</v>
      </c>
    </row>
    <row r="19" spans="1:10" ht="15.75" customHeight="1" x14ac:dyDescent="0.2">
      <c r="A19" s="2"/>
      <c r="B19" s="26" t="s">
        <v>10</v>
      </c>
      <c r="C19" s="22"/>
      <c r="D19" s="22"/>
      <c r="E19" s="23">
        <f>Table190[Projected Cost]-Table190[Actual Cost]</f>
        <v>0</v>
      </c>
      <c r="F19" s="27"/>
      <c r="G19" s="26" t="s">
        <v>12</v>
      </c>
      <c r="H19" s="22"/>
      <c r="I19" s="22"/>
      <c r="J19" s="23">
        <f>Table2100[Projected Cost]-Table2100[Actual Cost]</f>
        <v>0</v>
      </c>
    </row>
    <row r="20" spans="1:10" ht="15.75" customHeight="1" x14ac:dyDescent="0.2">
      <c r="A20" s="2"/>
      <c r="B20" s="26" t="s">
        <v>11</v>
      </c>
      <c r="C20" s="22"/>
      <c r="D20" s="22"/>
      <c r="E20" s="23">
        <f>Table190[Projected Cost]-Table190[Actual Cost]</f>
        <v>0</v>
      </c>
      <c r="F20" s="27"/>
      <c r="G20" s="26" t="s">
        <v>12</v>
      </c>
      <c r="H20" s="22"/>
      <c r="I20" s="22"/>
      <c r="J20" s="23">
        <f>Table2100[Projected Cost]-Table2100[Actual Cost]</f>
        <v>0</v>
      </c>
    </row>
    <row r="21" spans="1:10" ht="15.75" customHeight="1" x14ac:dyDescent="0.2">
      <c r="A21" s="2"/>
      <c r="B21" s="26" t="s">
        <v>12</v>
      </c>
      <c r="C21" s="22"/>
      <c r="D21" s="22"/>
      <c r="E21" s="23">
        <f>Table190[Projected Cost]-Table190[Actual Cost]</f>
        <v>0</v>
      </c>
      <c r="F21" s="27"/>
      <c r="G21" s="19" t="s">
        <v>68</v>
      </c>
      <c r="H21" s="24">
        <f>SUBTOTAL(109,Table2100[Projected Cost])</f>
        <v>0</v>
      </c>
      <c r="I21" s="22">
        <f>SUBTOTAL(109,Table2100[Actual Cost])</f>
        <v>0</v>
      </c>
      <c r="J21" s="25">
        <f>SUBTOTAL(109,Table2100[Difference])</f>
        <v>0</v>
      </c>
    </row>
    <row r="22" spans="1:10" ht="15.75" customHeight="1" x14ac:dyDescent="0.2">
      <c r="A22" s="2"/>
      <c r="B22" s="19" t="s">
        <v>68</v>
      </c>
      <c r="C22" s="22">
        <f>SUBTOTAL(109,Table190[Projected Cost])</f>
        <v>0</v>
      </c>
      <c r="D22" s="22">
        <f>SUBTOTAL(109,Table190[Actual Cost])</f>
        <v>0</v>
      </c>
      <c r="E22" s="25">
        <f>SUBTOTAL(109,Table190[Difference])</f>
        <v>0</v>
      </c>
      <c r="F22" s="27"/>
      <c r="G22" s="31"/>
      <c r="H22" s="31"/>
      <c r="I22" s="31"/>
      <c r="J22" s="31"/>
    </row>
    <row r="23" spans="1:10" ht="15.75" customHeight="1" x14ac:dyDescent="0.2">
      <c r="A23" s="2"/>
      <c r="B23" s="30"/>
      <c r="C23" s="30"/>
      <c r="D23" s="30"/>
      <c r="E23" s="30"/>
      <c r="F23" s="27"/>
      <c r="G23" s="19" t="s">
        <v>55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56</v>
      </c>
      <c r="C24" s="20" t="s">
        <v>0</v>
      </c>
      <c r="D24" s="20" t="s">
        <v>1</v>
      </c>
      <c r="E24" s="21" t="s">
        <v>2</v>
      </c>
      <c r="F24" s="27"/>
      <c r="G24" s="26" t="s">
        <v>34</v>
      </c>
      <c r="H24" s="22"/>
      <c r="I24" s="22"/>
      <c r="J24" s="23">
        <f>Table897[Projected Cost]-Table897[Actual Cost]</f>
        <v>0</v>
      </c>
    </row>
    <row r="25" spans="1:10" ht="15.75" customHeight="1" x14ac:dyDescent="0.2">
      <c r="A25" s="2"/>
      <c r="B25" s="26" t="s">
        <v>48</v>
      </c>
      <c r="C25" s="22"/>
      <c r="D25" s="22"/>
      <c r="E25" s="23">
        <f>Table396[Projected Cost]-Table396[Actual Cost]</f>
        <v>0</v>
      </c>
      <c r="F25" s="27"/>
      <c r="G25" s="26" t="s">
        <v>41</v>
      </c>
      <c r="H25" s="22"/>
      <c r="I25" s="22"/>
      <c r="J25" s="23">
        <f>Table897[Projected Cost]-Table897[Actual Cost]</f>
        <v>0</v>
      </c>
    </row>
    <row r="26" spans="1:10" ht="15.75" customHeight="1" x14ac:dyDescent="0.2">
      <c r="A26" s="2"/>
      <c r="B26" s="26" t="s">
        <v>46</v>
      </c>
      <c r="C26" s="22"/>
      <c r="D26" s="22"/>
      <c r="E26" s="23">
        <f>Table396[Projected Cost]-Table396[Actual Cost]</f>
        <v>0</v>
      </c>
      <c r="F26" s="27"/>
      <c r="G26" s="26" t="s">
        <v>50</v>
      </c>
      <c r="H26" s="22"/>
      <c r="I26" s="22"/>
      <c r="J26" s="23">
        <f>Table897[Projected Cost]-Table897[Actual Cost]</f>
        <v>0</v>
      </c>
    </row>
    <row r="27" spans="1:10" ht="15.75" customHeight="1" x14ac:dyDescent="0.2">
      <c r="A27" s="2"/>
      <c r="B27" s="26" t="s">
        <v>13</v>
      </c>
      <c r="C27" s="22"/>
      <c r="D27" s="22"/>
      <c r="E27" s="23">
        <f>Table396[Projected Cost]-Table396[Actual Cost]</f>
        <v>0</v>
      </c>
      <c r="F27" s="27"/>
      <c r="G27" s="26" t="s">
        <v>50</v>
      </c>
      <c r="H27" s="22"/>
      <c r="I27" s="22"/>
      <c r="J27" s="23">
        <f>Table897[Projected Cost]-Table897[Actual Cost]</f>
        <v>0</v>
      </c>
    </row>
    <row r="28" spans="1:10" ht="15.75" customHeight="1" x14ac:dyDescent="0.2">
      <c r="A28" s="2"/>
      <c r="B28" s="26" t="s">
        <v>14</v>
      </c>
      <c r="C28" s="22"/>
      <c r="D28" s="22"/>
      <c r="E28" s="23">
        <f>Table396[Projected Cost]-Table396[Actual Cost]</f>
        <v>0</v>
      </c>
      <c r="F28" s="27"/>
      <c r="G28" s="26" t="s">
        <v>50</v>
      </c>
      <c r="H28" s="22"/>
      <c r="I28" s="22"/>
      <c r="J28" s="23">
        <f>Table897[Projected Cost]-Table897[Actual Cost]</f>
        <v>0</v>
      </c>
    </row>
    <row r="29" spans="1:10" ht="15.75" customHeight="1" x14ac:dyDescent="0.2">
      <c r="A29" s="2"/>
      <c r="B29" s="26" t="s">
        <v>15</v>
      </c>
      <c r="C29" s="22"/>
      <c r="D29" s="22"/>
      <c r="E29" s="23">
        <f>Table396[Projected Cost]-Table396[Actual Cost]</f>
        <v>0</v>
      </c>
      <c r="F29" s="27"/>
      <c r="G29" s="26" t="s">
        <v>12</v>
      </c>
      <c r="H29" s="22"/>
      <c r="I29" s="22"/>
      <c r="J29" s="23">
        <f>Table897[Projected Cost]-Table897[Actual Cost]</f>
        <v>0</v>
      </c>
    </row>
    <row r="30" spans="1:10" ht="15.75" customHeight="1" x14ac:dyDescent="0.2">
      <c r="A30" s="2"/>
      <c r="B30" s="26" t="s">
        <v>16</v>
      </c>
      <c r="C30" s="22"/>
      <c r="D30" s="22"/>
      <c r="E30" s="23">
        <f>Table396[Projected Cost]-Table396[Actual Cost]</f>
        <v>0</v>
      </c>
      <c r="F30" s="27"/>
      <c r="G30" s="19" t="s">
        <v>68</v>
      </c>
      <c r="H30" s="22">
        <f>SUBTOTAL(109,Table897[Projected Cost])</f>
        <v>0</v>
      </c>
      <c r="I30" s="22">
        <f>SUBTOTAL(109,Table897[Actual Cost])</f>
        <v>0</v>
      </c>
      <c r="J30" s="25">
        <f>SUBTOTAL(109,Table897[Difference])</f>
        <v>0</v>
      </c>
    </row>
    <row r="31" spans="1:10" ht="15.75" customHeight="1" x14ac:dyDescent="0.2">
      <c r="A31" s="2"/>
      <c r="B31" s="26" t="s">
        <v>12</v>
      </c>
      <c r="C31" s="22"/>
      <c r="D31" s="22"/>
      <c r="E31" s="23">
        <f>Table396[Projected Cost]-Table396[Actual Cost]</f>
        <v>0</v>
      </c>
      <c r="F31" s="27"/>
      <c r="G31" s="30"/>
      <c r="H31" s="30"/>
      <c r="I31" s="30"/>
      <c r="J31" s="30"/>
    </row>
    <row r="32" spans="1:10" ht="15.75" customHeight="1" x14ac:dyDescent="0.2">
      <c r="A32" s="2"/>
      <c r="B32" s="19" t="s">
        <v>68</v>
      </c>
      <c r="C32" s="22">
        <f>SUBTOTAL(109,Table396[Projected Cost])</f>
        <v>0</v>
      </c>
      <c r="D32" s="22">
        <f>SUBTOTAL(109,Table396[Actual Cost])</f>
        <v>0</v>
      </c>
      <c r="E32" s="25">
        <f>SUBTOTAL(109,Table396[Difference])</f>
        <v>0</v>
      </c>
      <c r="F32" s="27"/>
      <c r="G32" s="19" t="s">
        <v>12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30"/>
      <c r="C33" s="30"/>
      <c r="D33" s="30"/>
      <c r="E33" s="30"/>
      <c r="F33" s="27"/>
      <c r="G33" s="26" t="s">
        <v>35</v>
      </c>
      <c r="H33" s="22"/>
      <c r="I33" s="22"/>
      <c r="J33" s="23">
        <f>Table995[Projected Cost]-Table995[Actual Cost]</f>
        <v>0</v>
      </c>
    </row>
    <row r="34" spans="1:10" ht="15.75" customHeight="1" x14ac:dyDescent="0.2">
      <c r="A34" s="2"/>
      <c r="B34" s="19" t="s">
        <v>57</v>
      </c>
      <c r="C34" s="20" t="s">
        <v>0</v>
      </c>
      <c r="D34" s="20" t="s">
        <v>1</v>
      </c>
      <c r="E34" s="21" t="s">
        <v>2</v>
      </c>
      <c r="F34" s="27"/>
      <c r="G34" s="26" t="s">
        <v>36</v>
      </c>
      <c r="H34" s="22"/>
      <c r="I34" s="22"/>
      <c r="J34" s="23">
        <f>Table995[Projected Cost]-Table995[Actual Cost]</f>
        <v>0</v>
      </c>
    </row>
    <row r="35" spans="1:10" ht="15.75" customHeight="1" x14ac:dyDescent="0.2">
      <c r="A35" s="2"/>
      <c r="B35" s="26" t="s">
        <v>17</v>
      </c>
      <c r="C35" s="22"/>
      <c r="D35" s="22"/>
      <c r="E35" s="23">
        <f>Table491[Projected Cost]-Table491[Actual Cost]</f>
        <v>0</v>
      </c>
      <c r="F35" s="27"/>
      <c r="G35" s="26" t="s">
        <v>37</v>
      </c>
      <c r="H35" s="22"/>
      <c r="I35" s="22"/>
      <c r="J35" s="23">
        <f>Table995[Projected Cost]-Table995[Actual Cost]</f>
        <v>0</v>
      </c>
    </row>
    <row r="36" spans="1:10" ht="15.75" customHeight="1" x14ac:dyDescent="0.2">
      <c r="A36" s="2"/>
      <c r="B36" s="26" t="s">
        <v>18</v>
      </c>
      <c r="C36" s="22"/>
      <c r="D36" s="22"/>
      <c r="E36" s="23">
        <f>Table491[Projected Cost]-Table491[Actual Cost]</f>
        <v>0</v>
      </c>
      <c r="F36" s="27"/>
      <c r="G36" s="26" t="s">
        <v>12</v>
      </c>
      <c r="H36" s="22"/>
      <c r="I36" s="22"/>
      <c r="J36" s="23">
        <f>Table995[Projected Cost]-Table995[Actual Cost]</f>
        <v>0</v>
      </c>
    </row>
    <row r="37" spans="1:10" ht="15.75" customHeight="1" x14ac:dyDescent="0.2">
      <c r="A37" s="2"/>
      <c r="B37" s="26" t="s">
        <v>19</v>
      </c>
      <c r="C37" s="22"/>
      <c r="D37" s="22"/>
      <c r="E37" s="23">
        <f>Table491[Projected Cost]-Table491[Actual Cost]</f>
        <v>0</v>
      </c>
      <c r="F37" s="27"/>
      <c r="G37" s="19" t="s">
        <v>68</v>
      </c>
      <c r="H37" s="22">
        <f>SUBTOTAL(109,Table995[Projected Cost])</f>
        <v>0</v>
      </c>
      <c r="I37" s="22">
        <f>SUBTOTAL(109,Table995[Actual Cost])</f>
        <v>0</v>
      </c>
      <c r="J37" s="25">
        <f>SUBTOTAL(109,Table995[Difference])</f>
        <v>0</v>
      </c>
    </row>
    <row r="38" spans="1:10" ht="15.75" customHeight="1" x14ac:dyDescent="0.2">
      <c r="A38" s="2"/>
      <c r="B38" s="26" t="s">
        <v>12</v>
      </c>
      <c r="C38" s="22"/>
      <c r="D38" s="22"/>
      <c r="E38" s="23">
        <f>Table491[Projected Cost]-Table491[Actual Cost]</f>
        <v>0</v>
      </c>
      <c r="F38" s="27"/>
      <c r="G38" s="30"/>
      <c r="H38" s="30"/>
      <c r="I38" s="30"/>
      <c r="J38" s="30"/>
    </row>
    <row r="39" spans="1:10" ht="15.75" customHeight="1" x14ac:dyDescent="0.2">
      <c r="A39" s="2"/>
      <c r="B39" s="19" t="s">
        <v>68</v>
      </c>
      <c r="C39" s="22">
        <f>SUBTOTAL(109,Table491[Projected Cost])</f>
        <v>0</v>
      </c>
      <c r="D39" s="22">
        <f>SUBTOTAL(109,Table491[Actual Cost])</f>
        <v>0</v>
      </c>
      <c r="E39" s="25">
        <f>SUBTOTAL(109,Table491[Difference])</f>
        <v>0</v>
      </c>
      <c r="F39" s="27"/>
      <c r="G39" s="19" t="s">
        <v>59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30"/>
      <c r="C40" s="30"/>
      <c r="D40" s="30"/>
      <c r="E40" s="30"/>
      <c r="F40" s="27"/>
      <c r="G40" s="26" t="s">
        <v>51</v>
      </c>
      <c r="H40" s="22"/>
      <c r="I40" s="22"/>
      <c r="J40" s="23">
        <f>Table1098[Projected Cost]-Table1098[Actual Cost]</f>
        <v>0</v>
      </c>
    </row>
    <row r="41" spans="1:10" ht="15.75" customHeight="1" x14ac:dyDescent="0.2">
      <c r="A41" s="2"/>
      <c r="B41" s="19" t="s">
        <v>58</v>
      </c>
      <c r="C41" s="20" t="s">
        <v>0</v>
      </c>
      <c r="D41" s="20" t="s">
        <v>1</v>
      </c>
      <c r="E41" s="21" t="s">
        <v>2</v>
      </c>
      <c r="F41" s="27"/>
      <c r="G41" s="26" t="s">
        <v>52</v>
      </c>
      <c r="H41" s="22"/>
      <c r="I41" s="22"/>
      <c r="J41" s="23">
        <f>Table1098[Projected Cost]-Table1098[Actual Cost]</f>
        <v>0</v>
      </c>
    </row>
    <row r="42" spans="1:10" ht="15.75" customHeight="1" x14ac:dyDescent="0.2">
      <c r="A42" s="2"/>
      <c r="B42" s="26" t="s">
        <v>20</v>
      </c>
      <c r="C42" s="22"/>
      <c r="D42" s="22"/>
      <c r="E42" s="23">
        <f>Table594[Projected Cost]-Table594[Actual Cost]</f>
        <v>0</v>
      </c>
      <c r="F42" s="27"/>
      <c r="G42" s="26" t="s">
        <v>12</v>
      </c>
      <c r="H42" s="22"/>
      <c r="I42" s="22"/>
      <c r="J42" s="23">
        <f>Table1098[Projected Cost]-Table1098[Actual Cost]</f>
        <v>0</v>
      </c>
    </row>
    <row r="43" spans="1:10" ht="15.75" customHeight="1" x14ac:dyDescent="0.2">
      <c r="A43" s="2"/>
      <c r="B43" s="26" t="s">
        <v>28</v>
      </c>
      <c r="C43" s="22"/>
      <c r="D43" s="22"/>
      <c r="E43" s="23">
        <f>Table594[Projected Cost]-Table594[Actual Cost]</f>
        <v>0</v>
      </c>
      <c r="F43" s="27"/>
      <c r="G43" s="19" t="s">
        <v>68</v>
      </c>
      <c r="H43" s="22">
        <f>SUBTOTAL(109,Table1098[Projected Cost])</f>
        <v>0</v>
      </c>
      <c r="I43" s="22">
        <f>SUBTOTAL(109,Table1098[Actual Cost])</f>
        <v>0</v>
      </c>
      <c r="J43" s="25">
        <f>SUBTOTAL(109,Table1098[Difference])</f>
        <v>0</v>
      </c>
    </row>
    <row r="44" spans="1:10" ht="15.75" customHeight="1" x14ac:dyDescent="0.2">
      <c r="A44" s="2"/>
      <c r="B44" s="26" t="s">
        <v>12</v>
      </c>
      <c r="C44" s="22"/>
      <c r="D44" s="22"/>
      <c r="E44" s="23">
        <f>Table594[Projected Cost]-Table594[Actual Cost]</f>
        <v>0</v>
      </c>
      <c r="F44" s="27"/>
      <c r="G44" s="30"/>
      <c r="H44" s="30"/>
      <c r="I44" s="30"/>
      <c r="J44" s="30"/>
    </row>
    <row r="45" spans="1:10" ht="15.75" customHeight="1" x14ac:dyDescent="0.2">
      <c r="A45" s="2"/>
      <c r="B45" s="19" t="s">
        <v>68</v>
      </c>
      <c r="C45" s="22">
        <f>SUBTOTAL(109,Table594[Projected Cost])</f>
        <v>0</v>
      </c>
      <c r="D45" s="22">
        <f>SUBTOTAL(109,Table594[Actual Cost])</f>
        <v>0</v>
      </c>
      <c r="E45" s="25">
        <f>SUBTOTAL(109,Table594[Difference])</f>
        <v>0</v>
      </c>
      <c r="F45" s="27"/>
      <c r="G45" s="19" t="s">
        <v>60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30"/>
      <c r="C46" s="30"/>
      <c r="D46" s="30"/>
      <c r="E46" s="30"/>
      <c r="F46" s="27"/>
      <c r="G46" s="26" t="s">
        <v>38</v>
      </c>
      <c r="H46" s="22"/>
      <c r="I46" s="22"/>
      <c r="J46" s="23">
        <f>Table1193[Projected Cost]-Table1193[Actual Cost]</f>
        <v>0</v>
      </c>
    </row>
    <row r="47" spans="1:10" ht="15.75" customHeight="1" x14ac:dyDescent="0.2">
      <c r="A47" s="2"/>
      <c r="B47" s="19" t="s">
        <v>61</v>
      </c>
      <c r="C47" s="20" t="s">
        <v>0</v>
      </c>
      <c r="D47" s="20" t="s">
        <v>1</v>
      </c>
      <c r="E47" s="21" t="s">
        <v>2</v>
      </c>
      <c r="F47" s="27"/>
      <c r="G47" s="26" t="s">
        <v>39</v>
      </c>
      <c r="H47" s="22"/>
      <c r="I47" s="22"/>
      <c r="J47" s="23">
        <f>Table1193[Projected Cost]-Table1193[Actual Cost]</f>
        <v>0</v>
      </c>
    </row>
    <row r="48" spans="1:10" ht="15.75" customHeight="1" x14ac:dyDescent="0.2">
      <c r="A48" s="2"/>
      <c r="B48" s="26" t="s">
        <v>21</v>
      </c>
      <c r="C48" s="22"/>
      <c r="D48" s="22"/>
      <c r="E48" s="23">
        <f>Table692[Projected Cost]-Table692[Actual Cost]</f>
        <v>0</v>
      </c>
      <c r="F48" s="27"/>
      <c r="G48" s="26" t="s">
        <v>45</v>
      </c>
      <c r="H48" s="22"/>
      <c r="I48" s="22"/>
      <c r="J48" s="23">
        <f>Table1193[Projected Cost]-Table1193[Actual Cost]</f>
        <v>0</v>
      </c>
    </row>
    <row r="49" spans="1:10" ht="15.75" customHeight="1" x14ac:dyDescent="0.2">
      <c r="A49" s="2"/>
      <c r="B49" s="26" t="s">
        <v>23</v>
      </c>
      <c r="C49" s="22"/>
      <c r="D49" s="22"/>
      <c r="E49" s="23">
        <f>Table692[Projected Cost]-Table692[Actual Cost]</f>
        <v>0</v>
      </c>
      <c r="F49" s="27"/>
      <c r="G49" s="19" t="s">
        <v>68</v>
      </c>
      <c r="H49" s="22">
        <f>SUBTOTAL(109,Table1193[Projected Cost])</f>
        <v>0</v>
      </c>
      <c r="I49" s="22">
        <f>SUBTOTAL(109,Table1193[Actual Cost])</f>
        <v>0</v>
      </c>
      <c r="J49" s="25">
        <f>SUBTOTAL(109,Table1193[Difference])</f>
        <v>0</v>
      </c>
    </row>
    <row r="50" spans="1:10" ht="15.75" customHeight="1" x14ac:dyDescent="0.2">
      <c r="A50" s="2"/>
      <c r="B50" s="26" t="s">
        <v>24</v>
      </c>
      <c r="C50" s="22"/>
      <c r="D50" s="22"/>
      <c r="E50" s="23">
        <f>Table692[Projected Cost]-Table692[Actual Cost]</f>
        <v>0</v>
      </c>
      <c r="F50" s="27"/>
      <c r="G50" s="30"/>
      <c r="H50" s="30"/>
      <c r="I50" s="30"/>
      <c r="J50" s="30"/>
    </row>
    <row r="51" spans="1:10" ht="15.75" customHeight="1" x14ac:dyDescent="0.2">
      <c r="A51" s="2"/>
      <c r="B51" s="26" t="s">
        <v>22</v>
      </c>
      <c r="C51" s="22"/>
      <c r="D51" s="22"/>
      <c r="E51" s="23">
        <f>Table692[Projected Cost]-Table692[Actual Cost]</f>
        <v>0</v>
      </c>
      <c r="F51" s="27"/>
      <c r="G51" s="33" t="s">
        <v>65</v>
      </c>
      <c r="H51" s="33"/>
      <c r="I51" s="33"/>
      <c r="J51" s="34">
        <f>SUM(C22,C32,C39,C45,C53,C63,H21,H30,H37,H43,H49)</f>
        <v>0</v>
      </c>
    </row>
    <row r="52" spans="1:10" ht="15.75" customHeight="1" x14ac:dyDescent="0.2">
      <c r="A52" s="2"/>
      <c r="B52" s="26" t="s">
        <v>12</v>
      </c>
      <c r="C52" s="22"/>
      <c r="D52" s="22"/>
      <c r="E52" s="23">
        <f>Table692[Projected Cost]-Table692[Actual Cost]</f>
        <v>0</v>
      </c>
      <c r="F52" s="27"/>
      <c r="G52" s="33"/>
      <c r="H52" s="33"/>
      <c r="I52" s="33"/>
      <c r="J52" s="34"/>
    </row>
    <row r="53" spans="1:10" ht="15.75" customHeight="1" x14ac:dyDescent="0.2">
      <c r="A53" s="2"/>
      <c r="B53" s="19" t="s">
        <v>68</v>
      </c>
      <c r="C53" s="22">
        <f>SUBTOTAL(109,Table692[Projected Cost])</f>
        <v>0</v>
      </c>
      <c r="D53" s="22">
        <f>SUBTOTAL(109,Table692[Actual Cost])</f>
        <v>0</v>
      </c>
      <c r="E53" s="25">
        <f>SUBTOTAL(109,Table692[Difference])</f>
        <v>0</v>
      </c>
      <c r="F53" s="27"/>
      <c r="G53" s="33" t="s">
        <v>66</v>
      </c>
      <c r="H53" s="33"/>
      <c r="I53" s="33"/>
      <c r="J53" s="34">
        <f>SUM(D22,D32,D39,D45,D53,D63,I21,I30,I37,I43,I49)</f>
        <v>0</v>
      </c>
    </row>
    <row r="54" spans="1:10" ht="15.75" customHeight="1" x14ac:dyDescent="0.2">
      <c r="A54" s="2"/>
      <c r="B54" s="30"/>
      <c r="C54" s="30"/>
      <c r="D54" s="30"/>
      <c r="E54" s="30"/>
      <c r="F54" s="27"/>
      <c r="G54" s="33"/>
      <c r="H54" s="33"/>
      <c r="I54" s="33"/>
      <c r="J54" s="34"/>
    </row>
    <row r="55" spans="1:10" ht="15.75" customHeight="1" x14ac:dyDescent="0.2">
      <c r="A55" s="2"/>
      <c r="B55" s="19" t="s">
        <v>62</v>
      </c>
      <c r="C55" s="20" t="s">
        <v>0</v>
      </c>
      <c r="D55" s="20" t="s">
        <v>1</v>
      </c>
      <c r="E55" s="21" t="s">
        <v>2</v>
      </c>
      <c r="F55" s="27"/>
      <c r="G55" s="33" t="s">
        <v>67</v>
      </c>
      <c r="H55" s="33"/>
      <c r="I55" s="33"/>
      <c r="J55" s="34">
        <f>SUM(E22,E32,E39,E45,E53,E63,J21,J30,J37,J43,J49)</f>
        <v>0</v>
      </c>
    </row>
    <row r="56" spans="1:10" ht="15.75" customHeight="1" x14ac:dyDescent="0.2">
      <c r="A56" s="2"/>
      <c r="B56" s="26" t="s">
        <v>23</v>
      </c>
      <c r="C56" s="22"/>
      <c r="D56" s="22"/>
      <c r="E56" s="23">
        <f>Table799[Projected Cost]-Table799[Actual Cost]</f>
        <v>0</v>
      </c>
      <c r="F56" s="27"/>
      <c r="G56" s="33"/>
      <c r="H56" s="33"/>
      <c r="I56" s="33"/>
      <c r="J56" s="34"/>
    </row>
    <row r="57" spans="1:10" ht="15.75" customHeight="1" x14ac:dyDescent="0.2">
      <c r="A57" s="2"/>
      <c r="B57" s="26" t="s">
        <v>26</v>
      </c>
      <c r="C57" s="22"/>
      <c r="D57" s="22"/>
      <c r="E57" s="23">
        <f>Table799[Projected Cost]-Table799[Actual Cost]</f>
        <v>0</v>
      </c>
      <c r="F57" s="14"/>
    </row>
    <row r="58" spans="1:10" ht="15.75" customHeight="1" x14ac:dyDescent="0.2">
      <c r="A58" s="2"/>
      <c r="B58" s="26" t="s">
        <v>25</v>
      </c>
      <c r="C58" s="22"/>
      <c r="D58" s="22"/>
      <c r="E58" s="23">
        <f>Table799[Projected Cost]-Table799[Actual Cost]</f>
        <v>0</v>
      </c>
      <c r="F58" s="14"/>
    </row>
    <row r="59" spans="1:10" ht="15.75" customHeight="1" x14ac:dyDescent="0.2">
      <c r="A59" s="2"/>
      <c r="B59" s="26" t="s">
        <v>33</v>
      </c>
      <c r="C59" s="22"/>
      <c r="D59" s="22"/>
      <c r="E59" s="23">
        <f>Table799[Projected Cost]-Table799[Actual Cost]</f>
        <v>0</v>
      </c>
      <c r="F59" s="14"/>
    </row>
    <row r="60" spans="1:10" ht="15.75" customHeight="1" x14ac:dyDescent="0.2">
      <c r="A60" s="2"/>
      <c r="B60" s="26" t="s">
        <v>27</v>
      </c>
      <c r="C60" s="22"/>
      <c r="D60" s="22"/>
      <c r="E60" s="23">
        <f>Table799[Projected Cost]-Table799[Actual Cost]</f>
        <v>0</v>
      </c>
      <c r="F60" s="14"/>
    </row>
    <row r="61" spans="1:10" ht="15.75" customHeight="1" x14ac:dyDescent="0.2">
      <c r="A61" s="2"/>
      <c r="B61" s="26" t="s">
        <v>40</v>
      </c>
      <c r="C61" s="22"/>
      <c r="D61" s="22"/>
      <c r="E61" s="23">
        <f>Table799[Projected Cost]-Table799[Actual Cost]</f>
        <v>0</v>
      </c>
      <c r="F61" s="14"/>
    </row>
    <row r="62" spans="1:10" ht="15.75" customHeight="1" x14ac:dyDescent="0.2">
      <c r="A62" s="2"/>
      <c r="B62" s="26" t="s">
        <v>12</v>
      </c>
      <c r="C62" s="22"/>
      <c r="D62" s="22"/>
      <c r="E62" s="23">
        <f>Table799[Projected Cost]-Table799[Actual Cost]</f>
        <v>0</v>
      </c>
      <c r="F62" s="14"/>
    </row>
    <row r="63" spans="1:10" ht="15.75" customHeight="1" x14ac:dyDescent="0.2">
      <c r="A63" s="2"/>
      <c r="B63" s="19" t="s">
        <v>68</v>
      </c>
      <c r="C63" s="22">
        <f>SUBTOTAL(109,Table799[Projected Cost])</f>
        <v>0</v>
      </c>
      <c r="D63" s="22">
        <f>SUBTOTAL(109,Table799[Actual Cost])</f>
        <v>0</v>
      </c>
      <c r="E63" s="25">
        <f>SUBTOTAL(109,Table799[Difference])</f>
        <v>0</v>
      </c>
      <c r="F63" s="14"/>
    </row>
    <row r="64" spans="1:10" ht="15.75" customHeight="1" x14ac:dyDescent="0.2">
      <c r="B64" t="s">
        <v>74</v>
      </c>
    </row>
  </sheetData>
  <mergeCells count="32">
    <mergeCell ref="G55:I56"/>
    <mergeCell ref="J55:J56"/>
    <mergeCell ref="G44:J44"/>
    <mergeCell ref="B46:E46"/>
    <mergeCell ref="G50:J50"/>
    <mergeCell ref="G51:I52"/>
    <mergeCell ref="J51:J52"/>
    <mergeCell ref="G53:I54"/>
    <mergeCell ref="J53:J54"/>
    <mergeCell ref="B54:E54"/>
    <mergeCell ref="B40:E40"/>
    <mergeCell ref="B7:B9"/>
    <mergeCell ref="C7:D7"/>
    <mergeCell ref="C8:D8"/>
    <mergeCell ref="G8:I9"/>
    <mergeCell ref="G22:J22"/>
    <mergeCell ref="B23:E23"/>
    <mergeCell ref="G31:J31"/>
    <mergeCell ref="B33:E33"/>
    <mergeCell ref="G38:J38"/>
    <mergeCell ref="J8:J9"/>
    <mergeCell ref="C9:D9"/>
    <mergeCell ref="B2:J2"/>
    <mergeCell ref="B3:D3"/>
    <mergeCell ref="B4:B6"/>
    <mergeCell ref="C4:D4"/>
    <mergeCell ref="G4:I5"/>
    <mergeCell ref="J4:J5"/>
    <mergeCell ref="C5:D5"/>
    <mergeCell ref="C6:D6"/>
    <mergeCell ref="G6:I7"/>
    <mergeCell ref="J6:J7"/>
  </mergeCells>
  <conditionalFormatting sqref="E12:E22 E25:E32 E35:E39 E42:E45 E48:E53 E56:E63 J12:J21 J24:J30 J33:J37 J40:J43 J46:J49">
    <cfRule type="iconSet" priority="1">
      <iconSet iconSet="3Signs">
        <cfvo type="percent" val="0"/>
        <cfvo type="num" val="-20"/>
        <cfvo type="num" val="0"/>
      </iconSet>
    </cfRule>
  </conditionalFormatting>
  <pageMargins left="0.7" right="0.7" top="0.75" bottom="0.75" header="0.3" footer="0.3"/>
  <drawing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fcjones</dc:creator>
  <cp:keywords/>
  <cp:lastModifiedBy>fcjones</cp:lastModifiedBy>
  <cp:lastPrinted>2015-10-30T14:06:10Z</cp:lastPrinted>
  <dcterms:created xsi:type="dcterms:W3CDTF">2015-10-22T18:08:01Z</dcterms:created>
  <dcterms:modified xsi:type="dcterms:W3CDTF">2016-07-06T17:41:36Z</dcterms:modified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